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8928ed5740df2fdd/Documents/Excel Spreadsheets for Sale/MBR Process Design/Files for Website/"/>
    </mc:Choice>
  </mc:AlternateContent>
  <xr:revisionPtr revIDLastSave="40" documentId="8_{BCFBD71A-4722-4D12-B59F-BF6932133D2A}" xr6:coauthVersionLast="45" xr6:coauthVersionMax="45" xr10:uidLastSave="{6C911D2C-177C-41C2-A557-B10778D4CCA5}"/>
  <bookViews>
    <workbookView xWindow="-435" yWindow="420" windowWidth="11160" windowHeight="10200" firstSheet="3" activeTab="3" xr2:uid="{00000000-000D-0000-FFFF-FFFF00000000}"/>
  </bookViews>
  <sheets>
    <sheet name="1. Introduction" sheetId="1" r:id="rId1"/>
    <sheet name="2. User Inputs and Constants" sheetId="4" r:id="rId2"/>
    <sheet name="3. Membrane Module" sheetId="5" r:id="rId3"/>
    <sheet name="4. BOD Removal - Nitrif" sheetId="2" r:id="rId4"/>
    <sheet name="5. Denitrification" sheetId="3" r:id="rId5"/>
    <sheet name="6. Eqn for Membrane Flux vs T" sheetId="7" r:id="rId6"/>
  </sheets>
  <externalReferences>
    <externalReference r:id="rId7"/>
  </externalReferences>
  <definedNames>
    <definedName name="A_M">'3. Membrane Module'!$C$18</definedName>
    <definedName name="AerVol">'4. BOD Removal - Nitrif'!$H$62</definedName>
    <definedName name="AlkNeeded_Nitrif">'4. BOD Removal - Nitrif'!$C$107</definedName>
    <definedName name="ALKo">'2. User Inputs and Constants'!$H$15</definedName>
    <definedName name="AtmosPress">'4. BOD Removal - Nitrif'!$H$82</definedName>
    <definedName name="bCODo">'4. BOD Removal - Nitrif'!$C$28</definedName>
    <definedName name="bCODoverBOD">'2. User Inputs and Constants'!$C$17</definedName>
    <definedName name="BlowerPress">'4. BOD Removal - Nitrif'!$H$90</definedName>
    <definedName name="BODo">'2. User Inputs and Constants'!$C$10</definedName>
    <definedName name="BODuoverVSS">'2. User Inputs and Constants'!$G$34</definedName>
    <definedName name="CODo">'2. User Inputs and Constants'!$C$13</definedName>
    <definedName name="DiffuserDepth">'4. BOD Removal - Nitrif'!$H$79</definedName>
    <definedName name="DO">'4. BOD Removal - Nitrif'!$H$96</definedName>
    <definedName name="ESS">'4. BOD Removal - Nitrif'!$H$28</definedName>
    <definedName name="f">'2. User Inputs and Constants'!$C$34</definedName>
    <definedName name="fd">'2. User Inputs and Constants'!$H$21</definedName>
    <definedName name="Freeboard">'4. BOD Removal - Nitrif'!$H$10</definedName>
    <definedName name="FS">'2. User Inputs and Constants'!$H$13</definedName>
    <definedName name="kd_20">'2. User Inputs and Constants'!$H$24</definedName>
    <definedName name="kdatTww">'4. BOD Removal - Nitrif'!$H$27</definedName>
    <definedName name="kdn_20">'2. User Inputs and Constants'!$H$29</definedName>
    <definedName name="Ks">'2. User Inputs and Constants'!$H$22</definedName>
    <definedName name="Ksn_20">'2. User Inputs and Constants'!$H$30</definedName>
    <definedName name="L_WRation">'4. BOD Removal - Nitrif'!$H$13</definedName>
    <definedName name="LiquidDepth">'4. BOD Removal - Nitrif'!$H$12</definedName>
    <definedName name="MLSS">'4. BOD Removal - Nitrif'!$H$8</definedName>
    <definedName name="Mum_20">'2. User Inputs and Constants'!$H$23</definedName>
    <definedName name="Mumn_20">'2. User Inputs and Constants'!$H$28</definedName>
    <definedName name="N">'4. BOD Removal - Nitrif'!$H$11</definedName>
    <definedName name="N_Anoxic">'5. Denitrification'!$C$16</definedName>
    <definedName name="NH4Ne">'4. BOD Removal - Nitrif'!$C$10</definedName>
    <definedName name="NH4No">'2. User Inputs and Constants'!$H$14</definedName>
    <definedName name="NOX">'4. BOD Removal - Nitrif'!$F$34</definedName>
    <definedName name="O2_kgperhrN">'4. BOD Removal - Nitrif'!$C$89</definedName>
    <definedName name="P_X_TSS">'4. BOD Removal - Nitrif'!$F$52</definedName>
    <definedName name="Qo">'2. User Inputs and Constants'!$C$8</definedName>
    <definedName name="rbCODo">'2. User Inputs and Constants'!$C$15</definedName>
    <definedName name="sBODo">'2. User Inputs and Constants'!$C$11</definedName>
    <definedName name="SCMM_nitrif">'4. BOD Removal - Nitrif'!$H$89</definedName>
    <definedName name="sCODo">'2. User Inputs and Constants'!$C$14</definedName>
    <definedName name="SRT">'4. BOD Removal - Nitrif'!$H$23</definedName>
    <definedName name="StdPress">'4. BOD Removal - Nitrif'!$H$81</definedName>
    <definedName name="StdTemp">'4. BOD Removal - Nitrif'!$H$80</definedName>
    <definedName name="Temp">'[1]3. User Inputs'!$H$34</definedName>
    <definedName name="Theta_kd">'2. User Inputs and Constants'!$C$24</definedName>
    <definedName name="Theta_kdn">'2. User Inputs and Constants'!$C$29</definedName>
    <definedName name="Theta_Ksn">'2. User Inputs and Constants'!$C$30</definedName>
    <definedName name="Theta_Mum">'2. User Inputs and Constants'!$C$23</definedName>
    <definedName name="Theta_Mumn">'2. User Inputs and Constants'!$C$28</definedName>
    <definedName name="TKNo">'2. User Inputs and Constants'!$H$12</definedName>
    <definedName name="TSS_W">'4. BOD Removal - Nitrif'!$H$9</definedName>
    <definedName name="TSSe">'4. BOD Removal - Nitrif'!$C$9</definedName>
    <definedName name="TSSo">'2. User Inputs and Constants'!$H$8</definedName>
    <definedName name="Tww">'2. User Inputs and Constants'!$H$17</definedName>
    <definedName name="V_Anox">'5. Denitrification'!$H$73</definedName>
    <definedName name="V_M">'3. Membrane Module'!$H$18</definedName>
    <definedName name="VSSo">'2. User Inputs and Constants'!$H$10</definedName>
    <definedName name="Y">'2. User Inputs and Constants'!$C$22</definedName>
    <definedName name="Yn">'2. User Inputs and Constants'!$C$27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2" l="1"/>
  <c r="C16" i="5" l="1"/>
  <c r="H34" i="3" l="1"/>
  <c r="H90" i="2"/>
  <c r="H87" i="2"/>
  <c r="C88" i="2"/>
  <c r="C87" i="2"/>
  <c r="H27" i="2"/>
  <c r="C27" i="2"/>
  <c r="C22" i="2"/>
  <c r="H21" i="2"/>
  <c r="C21" i="2"/>
  <c r="H11" i="5"/>
  <c r="F10" i="5"/>
  <c r="F16" i="5" l="1"/>
  <c r="C18" i="5" s="1"/>
  <c r="C20" i="5" l="1"/>
  <c r="G20" i="5" s="1"/>
  <c r="H18" i="5"/>
  <c r="H63" i="2" s="1"/>
  <c r="H62" i="2"/>
  <c r="C65" i="2" s="1"/>
  <c r="H82" i="3"/>
  <c r="C90" i="2"/>
  <c r="H88" i="2" s="1"/>
  <c r="C89" i="2"/>
  <c r="H73" i="3"/>
  <c r="C73" i="3"/>
  <c r="E72" i="3"/>
  <c r="E71" i="3"/>
  <c r="A72" i="3"/>
  <c r="A71" i="3"/>
  <c r="C63" i="2"/>
  <c r="A62" i="2"/>
  <c r="A61" i="2"/>
  <c r="E61" i="2"/>
  <c r="E60" i="2"/>
  <c r="C49" i="2"/>
  <c r="G49" i="2" s="1"/>
  <c r="C28" i="2"/>
  <c r="C12" i="2"/>
  <c r="C94" i="3" l="1"/>
  <c r="C75" i="3"/>
  <c r="H69" i="2"/>
  <c r="H22" i="2"/>
  <c r="C23" i="2" s="1"/>
  <c r="H89" i="2"/>
  <c r="C42" i="3"/>
  <c r="I42" i="3" s="1"/>
  <c r="C45" i="3" s="1"/>
  <c r="H28" i="2" l="1"/>
  <c r="H24" i="3" s="1"/>
  <c r="I25" i="2"/>
  <c r="D30" i="2"/>
  <c r="F51" i="2" s="1"/>
  <c r="C73" i="2"/>
  <c r="C48" i="3"/>
  <c r="I43" i="3"/>
  <c r="C46" i="3" s="1"/>
  <c r="K42" i="3"/>
  <c r="F34" i="2" l="1"/>
  <c r="C24" i="3" s="1"/>
  <c r="C26" i="3" s="1"/>
  <c r="C54" i="2"/>
  <c r="F52" i="2"/>
  <c r="H26" i="3" s="1"/>
  <c r="C86" i="3"/>
  <c r="M42" i="3"/>
  <c r="K43" i="3"/>
  <c r="L43" i="3" s="1"/>
  <c r="L42" i="3"/>
  <c r="G36" i="2"/>
  <c r="E38" i="2" s="1"/>
  <c r="C106" i="2" l="1"/>
  <c r="C79" i="3"/>
  <c r="F79" i="3" s="1"/>
  <c r="C81" i="3" s="1"/>
  <c r="H81" i="3" s="1"/>
  <c r="C28" i="3"/>
  <c r="C98" i="3" s="1"/>
  <c r="C33" i="3"/>
  <c r="H33" i="3" s="1"/>
  <c r="H54" i="2"/>
  <c r="C107" i="2"/>
  <c r="C88" i="3" s="1"/>
  <c r="C38" i="3"/>
  <c r="M43" i="3"/>
  <c r="H107" i="2" l="1"/>
  <c r="G109" i="2" s="1"/>
  <c r="H65" i="2"/>
  <c r="B69" i="2" s="1"/>
  <c r="C58" i="2"/>
  <c r="C59" i="2" s="1"/>
  <c r="C60" i="2" s="1"/>
  <c r="C61" i="2" s="1"/>
  <c r="C62" i="2" s="1"/>
  <c r="F45" i="3"/>
  <c r="F46" i="3"/>
  <c r="H88" i="3"/>
  <c r="G90" i="3" s="1"/>
  <c r="F48" i="3" l="1"/>
  <c r="C50" i="3" s="1"/>
  <c r="C57" i="3" s="1"/>
  <c r="H57" i="3" s="1"/>
  <c r="H58" i="3" s="1"/>
  <c r="C60" i="3" s="1"/>
  <c r="H60" i="3" s="1"/>
  <c r="C70" i="3" l="1"/>
  <c r="C71" i="3" s="1"/>
  <c r="C72" i="3" s="1"/>
</calcChain>
</file>

<file path=xl/sharedStrings.xml><?xml version="1.0" encoding="utf-8"?>
<sst xmlns="http://schemas.openxmlformats.org/spreadsheetml/2006/main" count="625" uniqueCount="484">
  <si>
    <t>Workbook Contents</t>
  </si>
  <si>
    <t>Click on tabs at the bottom of the screen to access the following:</t>
  </si>
  <si>
    <r>
      <rPr>
        <b/>
        <sz val="12"/>
        <rFont val="Arial"/>
        <family val="2"/>
      </rPr>
      <t>Tab 1.</t>
    </r>
    <r>
      <rPr>
        <sz val="12"/>
        <rFont val="Arial"/>
        <family val="2"/>
      </rPr>
      <t xml:space="preserve"> Introduction (current tab)</t>
    </r>
  </si>
  <si>
    <t>Why you shouldn’t give copies of this workbook away</t>
  </si>
  <si>
    <t xml:space="preserve">We at EngineeringExcelTemplates.com hope that you find this workbook useful.  If you </t>
  </si>
  <si>
    <t xml:space="preserve">would like us to develop additional useful spreadsheets for you in the future, then encourage </t>
  </si>
  <si>
    <t xml:space="preserve">your friends and colleagues to buy their own copies, rather than allowing them to copy </t>
  </si>
  <si>
    <t xml:space="preserve">the spreadsheet you purchased.  We have deliberately set our prices so low that no one </t>
  </si>
  <si>
    <t xml:space="preserve">can really claim that they can’t afford to pay.  But low prices will work for us—that is, we </t>
  </si>
  <si>
    <t xml:space="preserve">can stay in business—only if we can sell enough copies.  Bottom line: the more you get </t>
  </si>
  <si>
    <t xml:space="preserve">other people to pay for their own copies, the more low-cost useful spreadsheets will be </t>
  </si>
  <si>
    <t>available for you in the future.</t>
  </si>
  <si>
    <t>This workbook is provided "as is", without warranty of any kind, express or</t>
  </si>
  <si>
    <t>implied.</t>
  </si>
  <si>
    <t xml:space="preserve">       Find more Excel spreadsheets for engineering at</t>
  </si>
  <si>
    <t>EngineeringExcelTemplates.com</t>
  </si>
  <si>
    <r>
      <t>Instructions</t>
    </r>
    <r>
      <rPr>
        <b/>
        <i/>
        <sz val="12"/>
        <rFont val="Arial"/>
        <family val="2"/>
      </rPr>
      <t>:</t>
    </r>
    <r>
      <rPr>
        <i/>
        <sz val="11"/>
        <rFont val="Arial"/>
        <family val="2"/>
      </rPr>
      <t xml:space="preserve"> </t>
    </r>
    <r>
      <rPr>
        <b/>
        <i/>
        <sz val="11"/>
        <rFont val="Arial"/>
        <family val="2"/>
      </rPr>
      <t>Enter values in blue boxes.  Spreadsheet calculates values in yellow boxes</t>
    </r>
  </si>
  <si>
    <t>mg/L</t>
  </si>
  <si>
    <t xml:space="preserve">         Tank L:W ratio =</t>
  </si>
  <si>
    <t xml:space="preserve">       (target L:W - only used if tank is rectangular)</t>
  </si>
  <si>
    <t>Click on green box and then  on</t>
  </si>
  <si>
    <t xml:space="preserve">  arrow to Select Tank Shape:</t>
  </si>
  <si>
    <t>rectangular</t>
  </si>
  <si>
    <r>
      <t xml:space="preserve"> DO in Aer. Tank, </t>
    </r>
    <r>
      <rPr>
        <b/>
        <sz val="12"/>
        <rFont val="Arial"/>
        <family val="2"/>
      </rPr>
      <t>DO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</si>
  <si>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t xml:space="preserve">     BOD Removal and Nitrification</t>
  </si>
  <si>
    <r>
      <rPr>
        <sz val="10"/>
        <color theme="1"/>
        <rFont val="Arial"/>
        <family val="2"/>
      </rPr>
      <t xml:space="preserve">   MLSS in Aer. Tank,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Arial"/>
        <family val="2"/>
      </rPr>
      <t>X</t>
    </r>
    <r>
      <rPr>
        <b/>
        <vertAlign val="subscript"/>
        <sz val="11"/>
        <color theme="1"/>
        <rFont val="Arial"/>
        <family val="2"/>
      </rPr>
      <t>O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</si>
  <si>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 Ave. Membrane Flux, </t>
    </r>
    <r>
      <rPr>
        <b/>
        <sz val="12"/>
        <rFont val="Arial"/>
        <family val="2"/>
      </rPr>
      <t>J</t>
    </r>
    <r>
      <rPr>
        <sz val="10"/>
        <rFont val="Arial"/>
        <family val="2"/>
      </rPr>
      <t xml:space="preserve"> =</t>
    </r>
  </si>
  <si>
    <t>days</t>
  </si>
  <si>
    <t>2. Process Design Calculations  (done by worksheet)</t>
  </si>
  <si>
    <t xml:space="preserve">  Module packing</t>
  </si>
  <si>
    <r>
      <t xml:space="preserve">                        density,</t>
    </r>
    <r>
      <rPr>
        <b/>
        <sz val="11"/>
        <color theme="1"/>
        <rFont val="Symbol"/>
        <family val="1"/>
        <charset val="2"/>
      </rPr>
      <t xml:space="preserve"> f </t>
    </r>
    <r>
      <rPr>
        <sz val="11"/>
        <color theme="1"/>
        <rFont val="Calibri"/>
        <family val="2"/>
        <scheme val="minor"/>
      </rPr>
      <t>=</t>
    </r>
  </si>
  <si>
    <t>hr</t>
  </si>
  <si>
    <r>
      <t xml:space="preserve">       Membrane Area, </t>
    </r>
    <r>
      <rPr>
        <b/>
        <sz val="11"/>
        <color theme="1"/>
        <rFont val="Arial"/>
        <family val="2"/>
      </rPr>
      <t>A</t>
    </r>
    <r>
      <rPr>
        <b/>
        <vertAlign val="subscript"/>
        <sz val="11"/>
        <color theme="1"/>
        <rFont val="Arial"/>
        <family val="2"/>
      </rPr>
      <t>M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</si>
  <si>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    Membrane Module Vol., </t>
    </r>
    <r>
      <rPr>
        <b/>
        <sz val="11"/>
        <color theme="1"/>
        <rFont val="Arial"/>
        <family val="2"/>
      </rPr>
      <t>V</t>
    </r>
    <r>
      <rPr>
        <b/>
        <vertAlign val="subscript"/>
        <sz val="11"/>
        <color theme="1"/>
        <rFont val="Arial"/>
        <family val="2"/>
      </rPr>
      <t>M</t>
    </r>
    <r>
      <rPr>
        <sz val="11"/>
        <color theme="1"/>
        <rFont val="Calibri"/>
        <family val="2"/>
        <scheme val="minor"/>
      </rPr>
      <t xml:space="preserve"> =</t>
    </r>
  </si>
  <si>
    <r>
      <rPr>
        <b/>
        <sz val="12"/>
        <rFont val="Arial"/>
        <family val="2"/>
      </rPr>
      <t>Tab 2.</t>
    </r>
    <r>
      <rPr>
        <sz val="12"/>
        <rFont val="Arial"/>
        <family val="2"/>
      </rPr>
      <t xml:space="preserve"> User Inputs and Constants</t>
    </r>
  </si>
  <si>
    <r>
      <t xml:space="preserve">Tab 3. </t>
    </r>
    <r>
      <rPr>
        <sz val="12"/>
        <rFont val="Arial"/>
        <family val="2"/>
      </rPr>
      <t>Membrane Module Sizing</t>
    </r>
  </si>
  <si>
    <r>
      <t xml:space="preserve">     Activated Sludge Kinetic Coefficients for heterotrophic bacteria at 20</t>
    </r>
    <r>
      <rPr>
        <b/>
        <vertAlign val="superscript"/>
        <sz val="11"/>
        <color indexed="8"/>
        <rFont val="Arial"/>
        <family val="2"/>
      </rPr>
      <t>o</t>
    </r>
    <r>
      <rPr>
        <b/>
        <sz val="11"/>
        <color indexed="8"/>
        <rFont val="Arial"/>
        <family val="2"/>
      </rPr>
      <t>C (for BOD removal)</t>
    </r>
  </si>
  <si>
    <r>
      <t>Instructions</t>
    </r>
    <r>
      <rPr>
        <b/>
        <i/>
        <sz val="12"/>
        <rFont val="Arial"/>
        <family val="2"/>
      </rPr>
      <t>:</t>
    </r>
    <r>
      <rPr>
        <i/>
        <sz val="12"/>
        <rFont val="Arial"/>
        <family val="2"/>
      </rPr>
      <t xml:space="preserve"> </t>
    </r>
    <r>
      <rPr>
        <i/>
        <sz val="11"/>
        <rFont val="Arial"/>
        <family val="2"/>
      </rPr>
      <t xml:space="preserve"> Enter values in blue boxes.  Spreadsheet calculates values in yellow boxes</t>
    </r>
  </si>
  <si>
    <t>Coefficient</t>
  </si>
  <si>
    <t>Unit</t>
  </si>
  <si>
    <t>Range</t>
  </si>
  <si>
    <t>Typical Value</t>
  </si>
  <si>
    <t>User Inputs - Wastewater Parameters/Characteristics</t>
  </si>
  <si>
    <r>
      <t xml:space="preserve">                 </t>
    </r>
    <r>
      <rPr>
        <sz val="11"/>
        <color indexed="8"/>
        <rFont val="Symbol"/>
        <family val="1"/>
        <charset val="2"/>
      </rPr>
      <t>m</t>
    </r>
    <r>
      <rPr>
        <vertAlign val="subscript"/>
        <sz val="11"/>
        <color indexed="8"/>
        <rFont val="Arial"/>
        <family val="2"/>
      </rPr>
      <t>m</t>
    </r>
  </si>
  <si>
    <t>kg VSS/day/kg VSS</t>
  </si>
  <si>
    <t>3.0 - 13.2</t>
  </si>
  <si>
    <r>
      <t xml:space="preserve">Design ww Flow Rate, </t>
    </r>
    <r>
      <rPr>
        <b/>
        <sz val="12"/>
        <rFont val="Arial"/>
        <family val="2"/>
      </rPr>
      <t>Q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</si>
  <si>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t>mg/L bCOD</t>
  </si>
  <si>
    <t>5.0 - 40.0</t>
  </si>
  <si>
    <t xml:space="preserve">   Y</t>
  </si>
  <si>
    <t>kg VSS/day/kg bCOD</t>
  </si>
  <si>
    <t>0.30 - 0.50</t>
  </si>
  <si>
    <r>
      <t xml:space="preserve">          sBOD, </t>
    </r>
    <r>
      <rPr>
        <b/>
        <sz val="12"/>
        <rFont val="Arial"/>
        <family val="2"/>
      </rPr>
      <t>sBOD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</si>
  <si>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 xml:space="preserve">                 k</t>
    </r>
    <r>
      <rPr>
        <vertAlign val="subscript"/>
        <sz val="11"/>
        <color indexed="8"/>
        <rFont val="Arial"/>
        <family val="2"/>
      </rPr>
      <t>d</t>
    </r>
  </si>
  <si>
    <t>0.06 - 0.20</t>
  </si>
  <si>
    <r>
      <t xml:space="preserve">   TKN peak/ave factor , </t>
    </r>
    <r>
      <rPr>
        <b/>
        <sz val="12"/>
        <rFont val="Arial"/>
        <family val="2"/>
      </rPr>
      <t>FS</t>
    </r>
    <r>
      <rPr>
        <sz val="10"/>
        <rFont val="Arial"/>
        <family val="2"/>
      </rPr>
      <t xml:space="preserve"> =</t>
    </r>
  </si>
  <si>
    <r>
      <t xml:space="preserve">          sCOD, </t>
    </r>
    <r>
      <rPr>
        <b/>
        <sz val="12"/>
        <rFont val="Arial"/>
        <family val="2"/>
      </rPr>
      <t>sCOD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</si>
  <si>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t>dimensionless</t>
  </si>
  <si>
    <t>0.08 - 0.20</t>
  </si>
  <si>
    <r>
      <t xml:space="preserve">          rbCOD, </t>
    </r>
    <r>
      <rPr>
        <b/>
        <sz val="12"/>
        <rFont val="Arial"/>
        <family val="2"/>
      </rPr>
      <t>rbCOD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</si>
  <si>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q</t>
    </r>
    <r>
      <rPr>
        <sz val="10"/>
        <rFont val="Arial"/>
        <family val="2"/>
      </rPr>
      <t xml:space="preserve"> values for temperature corrections</t>
    </r>
  </si>
  <si>
    <r>
      <t xml:space="preserve">      ratio, </t>
    </r>
    <r>
      <rPr>
        <b/>
        <sz val="12"/>
        <rFont val="Arial"/>
        <family val="2"/>
      </rPr>
      <t>bCOD/BOD</t>
    </r>
    <r>
      <rPr>
        <sz val="10"/>
        <rFont val="Arial"/>
        <family val="2"/>
      </rPr>
      <t xml:space="preserve"> =</t>
    </r>
  </si>
  <si>
    <r>
      <t xml:space="preserve">  mg/L as CaCO</t>
    </r>
    <r>
      <rPr>
        <vertAlign val="subscript"/>
        <sz val="10"/>
        <rFont val="Arial"/>
        <family val="2"/>
      </rPr>
      <t>3</t>
    </r>
  </si>
  <si>
    <t>1.03 - 1.08</t>
  </si>
  <si>
    <r>
      <t xml:space="preserve">             for k</t>
    </r>
    <r>
      <rPr>
        <vertAlign val="subscript"/>
        <sz val="11"/>
        <color indexed="8"/>
        <rFont val="Arial"/>
        <family val="2"/>
      </rPr>
      <t>d</t>
    </r>
  </si>
  <si>
    <r>
      <t xml:space="preserve">            for K</t>
    </r>
    <r>
      <rPr>
        <vertAlign val="subscript"/>
        <sz val="11"/>
        <color indexed="8"/>
        <rFont val="Arial"/>
        <family val="2"/>
      </rPr>
      <t>s</t>
    </r>
  </si>
  <si>
    <t>User Inputs - Biological Kinetic Coefficients</t>
  </si>
  <si>
    <t>(See typical values at right)</t>
  </si>
  <si>
    <t xml:space="preserve">  Adapted from: Metcalf &amp; Eddy, Inc, (Revised by Tchobanoglous, G, Burton, F.L., Stensel, H.D., </t>
  </si>
  <si>
    <r>
      <t xml:space="preserve">  </t>
    </r>
    <r>
      <rPr>
        <i/>
        <sz val="10"/>
        <rFont val="Arial"/>
        <family val="2"/>
      </rPr>
      <t xml:space="preserve">Wastewater Engineering, Treatment and Reuse, </t>
    </r>
    <r>
      <rPr>
        <sz val="10"/>
        <rFont val="Arial"/>
        <family val="2"/>
      </rPr>
      <t>4th Ed., New York, NY, 2003.</t>
    </r>
  </si>
  <si>
    <t xml:space="preserve">  1.  For BOD Removal:</t>
  </si>
  <si>
    <r>
      <t xml:space="preserve">       Resid. biomass fract., </t>
    </r>
    <r>
      <rPr>
        <b/>
        <sz val="12"/>
        <rFont val="Arial"/>
        <family val="2"/>
      </rPr>
      <t>f</t>
    </r>
    <r>
      <rPr>
        <b/>
        <vertAlign val="subscript"/>
        <sz val="12"/>
        <rFont val="Arial"/>
        <family val="2"/>
      </rPr>
      <t>d</t>
    </r>
    <r>
      <rPr>
        <sz val="10"/>
        <rFont val="Arial"/>
        <family val="2"/>
      </rPr>
      <t xml:space="preserve"> =</t>
    </r>
  </si>
  <si>
    <r>
      <t xml:space="preserve">     Synth. Yield Coeff, </t>
    </r>
    <r>
      <rPr>
        <b/>
        <sz val="12"/>
        <rFont val="Arial"/>
        <family val="2"/>
      </rPr>
      <t>Y</t>
    </r>
    <r>
      <rPr>
        <sz val="10"/>
        <rFont val="Arial"/>
        <family val="2"/>
      </rPr>
      <t xml:space="preserve"> =</t>
    </r>
  </si>
  <si>
    <r>
      <t xml:space="preserve">  Half Veloc. Coeff.,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s</t>
    </r>
    <r>
      <rPr>
        <sz val="10"/>
        <rFont val="Arial"/>
        <family val="2"/>
      </rPr>
      <t xml:space="preserve"> =</t>
    </r>
  </si>
  <si>
    <r>
      <t xml:space="preserve">     Activated Sludge Nitrification Kinetic Coefficients at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 </t>
    </r>
  </si>
  <si>
    <r>
      <t xml:space="preserve">  Temp coeff, </t>
    </r>
    <r>
      <rPr>
        <b/>
        <sz val="12"/>
        <rFont val="Symbol"/>
        <family val="1"/>
        <charset val="2"/>
      </rPr>
      <t xml:space="preserve">q, </t>
    </r>
    <r>
      <rPr>
        <sz val="10"/>
        <rFont val="Arial"/>
        <family val="2"/>
      </rPr>
      <t xml:space="preserve">for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</t>
    </r>
    <r>
      <rPr>
        <sz val="10"/>
        <rFont val="Arial"/>
        <family val="2"/>
      </rPr>
      <t xml:space="preserve"> =</t>
    </r>
  </si>
  <si>
    <r>
      <t xml:space="preserve">      Max spec. grwth rate at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m20</t>
    </r>
    <r>
      <rPr>
        <sz val="10"/>
        <rFont val="Arial"/>
        <family val="2"/>
      </rPr>
      <t xml:space="preserve"> =</t>
    </r>
  </si>
  <si>
    <r>
      <t xml:space="preserve">  Temp coeff, </t>
    </r>
    <r>
      <rPr>
        <b/>
        <sz val="12"/>
        <rFont val="Symbol"/>
        <family val="1"/>
        <charset val="2"/>
      </rPr>
      <t xml:space="preserve">q, </t>
    </r>
    <r>
      <rPr>
        <sz val="10"/>
        <rFont val="Arial"/>
        <family val="2"/>
      </rPr>
      <t xml:space="preserve">for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</t>
    </r>
    <r>
      <rPr>
        <sz val="10"/>
        <rFont val="Arial"/>
        <family val="2"/>
      </rPr>
      <t xml:space="preserve"> =</t>
    </r>
  </si>
  <si>
    <r>
      <t xml:space="preserve">     Endog. decay coeff. at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d20</t>
    </r>
    <r>
      <rPr>
        <sz val="10"/>
        <rFont val="Arial"/>
        <family val="2"/>
      </rPr>
      <t xml:space="preserve"> =</t>
    </r>
  </si>
  <si>
    <t xml:space="preserve">  2.  For Nitrification:</t>
  </si>
  <si>
    <r>
      <t xml:space="preserve">                 </t>
    </r>
    <r>
      <rPr>
        <sz val="11"/>
        <color indexed="8"/>
        <rFont val="Symbol"/>
        <family val="1"/>
        <charset val="2"/>
      </rPr>
      <t>m</t>
    </r>
    <r>
      <rPr>
        <vertAlign val="subscript"/>
        <sz val="11"/>
        <color indexed="8"/>
        <rFont val="Arial"/>
        <family val="2"/>
      </rPr>
      <t>mn</t>
    </r>
  </si>
  <si>
    <t>0.2 - 0.90</t>
  </si>
  <si>
    <r>
      <t xml:space="preserve">     Synth. Yield Coeff, </t>
    </r>
    <r>
      <rPr>
        <b/>
        <sz val="12"/>
        <rFont val="Arial"/>
        <family val="2"/>
      </rPr>
      <t>Y</t>
    </r>
    <r>
      <rPr>
        <b/>
        <vertAlign val="subscript"/>
        <sz val="12"/>
        <rFont val="Arial"/>
        <family val="2"/>
      </rPr>
      <t>n</t>
    </r>
    <r>
      <rPr>
        <sz val="10"/>
        <rFont val="Arial"/>
        <family val="2"/>
      </rPr>
      <t xml:space="preserve"> =</t>
    </r>
  </si>
  <si>
    <r>
      <t xml:space="preserve">  Temp coeff, </t>
    </r>
    <r>
      <rPr>
        <b/>
        <sz val="12"/>
        <rFont val="Symbol"/>
        <family val="1"/>
        <charset val="2"/>
      </rPr>
      <t xml:space="preserve">q, </t>
    </r>
    <r>
      <rPr>
        <sz val="10"/>
        <rFont val="Arial"/>
        <family val="2"/>
      </rPr>
      <t xml:space="preserve">for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mn</t>
    </r>
    <r>
      <rPr>
        <sz val="10"/>
        <rFont val="Arial"/>
        <family val="2"/>
      </rPr>
      <t xml:space="preserve"> =</t>
    </r>
  </si>
  <si>
    <r>
      <t xml:space="preserve">      Max spec. grwth rate at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mn20</t>
    </r>
    <r>
      <rPr>
        <sz val="10"/>
        <rFont val="Arial"/>
        <family val="2"/>
      </rPr>
      <t xml:space="preserve"> =</t>
    </r>
  </si>
  <si>
    <r>
      <t xml:space="preserve">                 K</t>
    </r>
    <r>
      <rPr>
        <vertAlign val="subscript"/>
        <sz val="11"/>
        <color indexed="8"/>
        <rFont val="Arial"/>
        <family val="2"/>
      </rPr>
      <t>n</t>
    </r>
  </si>
  <si>
    <r>
      <t xml:space="preserve">      mg/L NH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-N</t>
    </r>
  </si>
  <si>
    <t>0.50 - 1.0</t>
  </si>
  <si>
    <r>
      <t xml:space="preserve">  Temp coeff, </t>
    </r>
    <r>
      <rPr>
        <b/>
        <sz val="12"/>
        <rFont val="Symbol"/>
        <family val="1"/>
        <charset val="2"/>
      </rPr>
      <t xml:space="preserve">q, </t>
    </r>
    <r>
      <rPr>
        <sz val="10"/>
        <rFont val="Arial"/>
        <family val="2"/>
      </rPr>
      <t xml:space="preserve">for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dn</t>
    </r>
    <r>
      <rPr>
        <sz val="10"/>
        <rFont val="Arial"/>
        <family val="2"/>
      </rPr>
      <t xml:space="preserve"> =</t>
    </r>
  </si>
  <si>
    <r>
      <t xml:space="preserve">     Endog. decay coeff. at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dn20</t>
    </r>
    <r>
      <rPr>
        <sz val="10"/>
        <rFont val="Arial"/>
        <family val="2"/>
      </rPr>
      <t xml:space="preserve"> =</t>
    </r>
  </si>
  <si>
    <r>
      <t xml:space="preserve">  Temp coeff, </t>
    </r>
    <r>
      <rPr>
        <b/>
        <sz val="12"/>
        <rFont val="Symbol"/>
        <family val="1"/>
        <charset val="2"/>
      </rPr>
      <t xml:space="preserve">q, </t>
    </r>
    <r>
      <rPr>
        <sz val="10"/>
        <rFont val="Arial"/>
        <family val="2"/>
      </rPr>
      <t xml:space="preserve">for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sn</t>
    </r>
    <r>
      <rPr>
        <sz val="10"/>
        <rFont val="Arial"/>
        <family val="2"/>
      </rPr>
      <t xml:space="preserve"> =</t>
    </r>
  </si>
  <si>
    <r>
      <t xml:space="preserve">         Half Veloc. Coeff. At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sn</t>
    </r>
    <r>
      <rPr>
        <sz val="10"/>
        <rFont val="Arial"/>
        <family val="2"/>
      </rPr>
      <t xml:space="preserve"> =</t>
    </r>
  </si>
  <si>
    <r>
      <t xml:space="preserve">                 Y</t>
    </r>
    <r>
      <rPr>
        <vertAlign val="subscript"/>
        <sz val="11"/>
        <color indexed="8"/>
        <rFont val="Arial"/>
        <family val="2"/>
      </rPr>
      <t>n</t>
    </r>
  </si>
  <si>
    <r>
      <t xml:space="preserve">   kg VSS/kg NH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-N</t>
    </r>
  </si>
  <si>
    <t>0.10 - 0.15</t>
  </si>
  <si>
    <t>Constants Used in the Calculations</t>
  </si>
  <si>
    <r>
      <t xml:space="preserve">                 k</t>
    </r>
    <r>
      <rPr>
        <vertAlign val="subscript"/>
        <sz val="11"/>
        <color indexed="8"/>
        <rFont val="Arial"/>
        <family val="2"/>
      </rPr>
      <t>dn</t>
    </r>
  </si>
  <si>
    <t>0.05 - 0.15</t>
  </si>
  <si>
    <r>
      <t xml:space="preserve">    Ratio of BOD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 xml:space="preserve"> to BOD</t>
    </r>
    <r>
      <rPr>
        <vertAlign val="subscript"/>
        <sz val="10"/>
        <rFont val="Arial"/>
        <family val="2"/>
      </rPr>
      <t>u</t>
    </r>
    <r>
      <rPr>
        <sz val="10"/>
        <rFont val="Arial"/>
        <family val="2"/>
      </rPr>
      <t xml:space="preserve">, </t>
    </r>
    <r>
      <rPr>
        <b/>
        <sz val="12"/>
        <rFont val="Arial"/>
        <family val="2"/>
      </rPr>
      <t>f</t>
    </r>
    <r>
      <rPr>
        <sz val="10"/>
        <rFont val="Arial"/>
        <family val="2"/>
      </rPr>
      <t xml:space="preserve"> =</t>
    </r>
  </si>
  <si>
    <r>
      <t xml:space="preserve">         BOD</t>
    </r>
    <r>
      <rPr>
        <vertAlign val="subscript"/>
        <sz val="10"/>
        <rFont val="Arial"/>
        <family val="2"/>
      </rPr>
      <t>u</t>
    </r>
    <r>
      <rPr>
        <sz val="11"/>
        <color theme="1"/>
        <rFont val="Calibri"/>
        <family val="2"/>
        <scheme val="minor"/>
      </rPr>
      <t xml:space="preserve"> equiv. of VSS =</t>
    </r>
  </si>
  <si>
    <r>
      <t xml:space="preserve">                 K</t>
    </r>
    <r>
      <rPr>
        <vertAlign val="subscript"/>
        <sz val="11"/>
        <color indexed="8"/>
        <rFont val="Arial"/>
        <family val="2"/>
      </rPr>
      <t>o</t>
    </r>
  </si>
  <si>
    <t>0.40 - 0.60</t>
  </si>
  <si>
    <r>
      <rPr>
        <sz val="11"/>
        <color indexed="8"/>
        <rFont val="Symbol"/>
        <family val="1"/>
        <charset val="2"/>
      </rPr>
      <t>q</t>
    </r>
    <r>
      <rPr>
        <sz val="11"/>
        <color indexed="8"/>
        <rFont val="Arial"/>
        <family val="2"/>
      </rPr>
      <t xml:space="preserve"> values for temperature corrections</t>
    </r>
  </si>
  <si>
    <r>
      <t xml:space="preserve">            </t>
    </r>
    <r>
      <rPr>
        <sz val="11"/>
        <color indexed="8"/>
        <rFont val="Arial"/>
        <family val="2"/>
      </rPr>
      <t>for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Symbol"/>
        <family val="1"/>
        <charset val="2"/>
      </rPr>
      <t>m</t>
    </r>
    <r>
      <rPr>
        <vertAlign val="subscript"/>
        <sz val="11"/>
        <color indexed="8"/>
        <rFont val="Arial"/>
        <family val="2"/>
      </rPr>
      <t>mn</t>
    </r>
  </si>
  <si>
    <t>1.06 - 1.123</t>
  </si>
  <si>
    <r>
      <t xml:space="preserve">             for k</t>
    </r>
    <r>
      <rPr>
        <vertAlign val="subscript"/>
        <sz val="11"/>
        <color indexed="8"/>
        <rFont val="Arial"/>
        <family val="2"/>
      </rPr>
      <t>dn</t>
    </r>
  </si>
  <si>
    <r>
      <t xml:space="preserve">            for K</t>
    </r>
    <r>
      <rPr>
        <vertAlign val="subscript"/>
        <sz val="11"/>
        <color indexed="8"/>
        <rFont val="Arial"/>
        <family val="2"/>
      </rPr>
      <t>n</t>
    </r>
  </si>
  <si>
    <t>1.03 - 1.123</t>
  </si>
  <si>
    <t xml:space="preserve">   User Inputs and Constants</t>
  </si>
  <si>
    <r>
      <t xml:space="preserve">        f</t>
    </r>
    <r>
      <rPr>
        <vertAlign val="subscript"/>
        <sz val="10"/>
        <rFont val="Arial"/>
        <family val="2"/>
      </rPr>
      <t>d</t>
    </r>
  </si>
  <si>
    <r>
      <t xml:space="preserve">               K</t>
    </r>
    <r>
      <rPr>
        <vertAlign val="subscript"/>
        <sz val="11"/>
        <color indexed="8"/>
        <rFont val="Arial"/>
        <family val="2"/>
      </rPr>
      <t>s</t>
    </r>
  </si>
  <si>
    <r>
      <t xml:space="preserve">                 </t>
    </r>
    <r>
      <rPr>
        <sz val="10"/>
        <rFont val="Arial"/>
        <family val="2"/>
      </rPr>
      <t xml:space="preserve">for </t>
    </r>
    <r>
      <rPr>
        <sz val="10"/>
        <rFont val="Symbol"/>
        <family val="1"/>
        <charset val="2"/>
      </rPr>
      <t>m</t>
    </r>
    <r>
      <rPr>
        <vertAlign val="subscript"/>
        <sz val="10"/>
        <rFont val="Arial"/>
        <family val="2"/>
      </rPr>
      <t>m</t>
    </r>
  </si>
  <si>
    <t xml:space="preserve">     Membrane Module Sizing Calculations</t>
  </si>
  <si>
    <r>
      <t xml:space="preserve">  Influent BOD, </t>
    </r>
    <r>
      <rPr>
        <b/>
        <sz val="12"/>
        <rFont val="Arial"/>
        <family val="2"/>
      </rPr>
      <t>BOD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</si>
  <si>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 xml:space="preserve">  Influent COD, </t>
    </r>
    <r>
      <rPr>
        <b/>
        <sz val="12"/>
        <rFont val="Arial"/>
        <family val="2"/>
      </rPr>
      <t>COD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</si>
  <si>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 xml:space="preserve">    Influent TSS, </t>
    </r>
    <r>
      <rPr>
        <b/>
        <sz val="12"/>
        <rFont val="Arial"/>
        <family val="2"/>
      </rPr>
      <t>TSS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</si>
  <si>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 xml:space="preserve">    Influent VSS, </t>
    </r>
    <r>
      <rPr>
        <b/>
        <sz val="12"/>
        <rFont val="Arial"/>
        <family val="2"/>
      </rPr>
      <t>VSS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</si>
  <si>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 xml:space="preserve">    Influent TKN, </t>
    </r>
    <r>
      <rPr>
        <b/>
        <sz val="12"/>
        <rFont val="Arial"/>
        <family val="2"/>
      </rPr>
      <t>TKN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</si>
  <si>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 xml:space="preserve">    Influent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-N, </t>
    </r>
    <r>
      <rPr>
        <b/>
        <sz val="12"/>
        <rFont val="Arial"/>
        <family val="2"/>
      </rPr>
      <t>NH</t>
    </r>
    <r>
      <rPr>
        <b/>
        <vertAlign val="subscript"/>
        <sz val="12"/>
        <rFont val="Arial"/>
        <family val="2"/>
      </rPr>
      <t>4</t>
    </r>
    <r>
      <rPr>
        <b/>
        <sz val="12"/>
        <rFont val="Arial"/>
        <family val="2"/>
      </rPr>
      <t>-N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</si>
  <si>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 xml:space="preserve">     Aeration WW Temp., </t>
    </r>
    <r>
      <rPr>
        <b/>
        <sz val="12"/>
        <rFont val="Arial"/>
        <family val="2"/>
      </rPr>
      <t>T</t>
    </r>
    <r>
      <rPr>
        <b/>
        <vertAlign val="subscript"/>
        <sz val="12"/>
        <rFont val="Arial"/>
        <family val="2"/>
      </rPr>
      <t>ww</t>
    </r>
    <r>
      <rPr>
        <sz val="10"/>
        <rFont val="Arial"/>
        <family val="2"/>
      </rPr>
      <t xml:space="preserve"> =</t>
    </r>
  </si>
  <si>
    <t xml:space="preserve">1. User Inputs,   Membrane/Membrane Module Parameters: </t>
  </si>
  <si>
    <t xml:space="preserve">        (values typically available from membrane manufacturer or vendor)</t>
  </si>
  <si>
    <t>User Inputs:</t>
  </si>
  <si>
    <t>Process Design Calculations  (done by worksheet)</t>
  </si>
  <si>
    <t xml:space="preserve">   Target effluent concentrations:</t>
  </si>
  <si>
    <r>
      <t xml:space="preserve">  </t>
    </r>
    <r>
      <rPr>
        <b/>
        <sz val="12"/>
        <rFont val="Arial"/>
        <family val="2"/>
      </rPr>
      <t>BOD</t>
    </r>
    <r>
      <rPr>
        <b/>
        <vertAlign val="subscript"/>
        <sz val="12"/>
        <rFont val="Arial"/>
        <family val="2"/>
      </rPr>
      <t>e</t>
    </r>
    <r>
      <rPr>
        <sz val="10"/>
        <rFont val="Arial"/>
        <family val="2"/>
      </rPr>
      <t xml:space="preserve"> =</t>
    </r>
  </si>
  <si>
    <r>
      <t xml:space="preserve">  </t>
    </r>
    <r>
      <rPr>
        <b/>
        <sz val="12"/>
        <rFont val="Arial"/>
        <family val="2"/>
      </rPr>
      <t>TSS</t>
    </r>
    <r>
      <rPr>
        <b/>
        <vertAlign val="subscript"/>
        <sz val="12"/>
        <rFont val="Arial"/>
        <family val="2"/>
      </rPr>
      <t>e</t>
    </r>
    <r>
      <rPr>
        <sz val="10"/>
        <rFont val="Arial"/>
        <family val="2"/>
      </rPr>
      <t xml:space="preserve"> =</t>
    </r>
  </si>
  <si>
    <r>
      <rPr>
        <b/>
        <sz val="12"/>
        <rFont val="Arial"/>
        <family val="2"/>
      </rPr>
      <t>NH</t>
    </r>
    <r>
      <rPr>
        <b/>
        <vertAlign val="subscript"/>
        <sz val="12"/>
        <rFont val="Arial"/>
        <family val="2"/>
      </rPr>
      <t>4</t>
    </r>
    <r>
      <rPr>
        <b/>
        <sz val="12"/>
        <rFont val="Arial"/>
        <family val="2"/>
      </rPr>
      <t>-N</t>
    </r>
    <r>
      <rPr>
        <b/>
        <vertAlign val="subscript"/>
        <sz val="12"/>
        <rFont val="Arial"/>
        <family val="2"/>
      </rPr>
      <t>e</t>
    </r>
    <r>
      <rPr>
        <sz val="10"/>
        <rFont val="Arial"/>
        <family val="2"/>
      </rPr>
      <t xml:space="preserve"> =</t>
    </r>
  </si>
  <si>
    <t xml:space="preserve">            Tank Freeboard  =</t>
  </si>
  <si>
    <t>Number of Aeration Tanks =</t>
  </si>
  <si>
    <t xml:space="preserve">  Liquid Depth in Tank =</t>
  </si>
  <si>
    <r>
      <rPr>
        <sz val="10"/>
        <color theme="1"/>
        <rFont val="Arial"/>
        <family val="2"/>
      </rPr>
      <t xml:space="preserve">   MLSS in Waste Sludge,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Arial"/>
        <family val="2"/>
      </rPr>
      <t>X</t>
    </r>
    <r>
      <rPr>
        <b/>
        <vertAlign val="subscript"/>
        <sz val="11"/>
        <color theme="1"/>
        <rFont val="Arial"/>
        <family val="2"/>
      </rPr>
      <t>W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</si>
  <si>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Initial Estimate of </t>
    </r>
    <r>
      <rPr>
        <b/>
        <sz val="11"/>
        <rFont val="Arial"/>
        <family val="2"/>
      </rPr>
      <t xml:space="preserve">NOx </t>
    </r>
    <r>
      <rPr>
        <sz val="11"/>
        <color theme="1"/>
        <rFont val="Calibri"/>
        <family val="2"/>
        <scheme val="minor"/>
      </rPr>
      <t>=</t>
    </r>
  </si>
  <si>
    <t xml:space="preserve">     (target L:W - only used if tank is rectangular)</t>
  </si>
  <si>
    <t xml:space="preserve">  of NOx below.  80% of the influent TKN is suggested for this initial estimate.</t>
  </si>
  <si>
    <r>
      <t xml:space="preserve">      Influent TKN, </t>
    </r>
    <r>
      <rPr>
        <b/>
        <sz val="12"/>
        <rFont val="Arial"/>
        <family val="2"/>
      </rPr>
      <t>TKN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</si>
  <si>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t xml:space="preserve">           (value transferred from Worksheet 2)</t>
  </si>
  <si>
    <t xml:space="preserve">  1.  Calculate Design SRT</t>
  </si>
  <si>
    <r>
      <t xml:space="preserve">                  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mn</t>
    </r>
    <r>
      <rPr>
        <sz val="10"/>
        <rFont val="Arial"/>
        <family val="2"/>
      </rPr>
      <t xml:space="preserve"> at </t>
    </r>
    <r>
      <rPr>
        <b/>
        <sz val="11"/>
        <rFont val="Arial"/>
        <family val="2"/>
      </rPr>
      <t>T</t>
    </r>
    <r>
      <rPr>
        <b/>
        <vertAlign val="subscript"/>
        <sz val="11"/>
        <rFont val="Arial"/>
        <family val="2"/>
      </rPr>
      <t>ww</t>
    </r>
    <r>
      <rPr>
        <sz val="10"/>
        <rFont val="Arial"/>
        <family val="2"/>
      </rPr>
      <t xml:space="preserve"> =</t>
    </r>
  </si>
  <si>
    <r>
      <t xml:space="preserve">            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sn</t>
    </r>
    <r>
      <rPr>
        <sz val="10"/>
        <rFont val="Arial"/>
        <family val="2"/>
      </rPr>
      <t xml:space="preserve"> at </t>
    </r>
    <r>
      <rPr>
        <b/>
        <sz val="11"/>
        <rFont val="Arial"/>
        <family val="2"/>
      </rPr>
      <t>T</t>
    </r>
    <r>
      <rPr>
        <b/>
        <vertAlign val="subscript"/>
        <sz val="11"/>
        <rFont val="Arial"/>
        <family val="2"/>
      </rPr>
      <t>ww</t>
    </r>
    <r>
      <rPr>
        <sz val="10"/>
        <rFont val="Arial"/>
        <family val="2"/>
      </rPr>
      <t xml:space="preserve"> =</t>
    </r>
  </si>
  <si>
    <r>
      <t xml:space="preserve">                  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dn</t>
    </r>
    <r>
      <rPr>
        <sz val="10"/>
        <rFont val="Arial"/>
        <family val="2"/>
      </rPr>
      <t xml:space="preserve"> at </t>
    </r>
    <r>
      <rPr>
        <b/>
        <sz val="11"/>
        <rFont val="Arial"/>
        <family val="2"/>
      </rPr>
      <t>T</t>
    </r>
    <r>
      <rPr>
        <b/>
        <vertAlign val="subscript"/>
        <sz val="11"/>
        <rFont val="Arial"/>
        <family val="2"/>
      </rPr>
      <t>ww</t>
    </r>
    <r>
      <rPr>
        <sz val="10"/>
        <rFont val="Arial"/>
        <family val="2"/>
      </rPr>
      <t xml:space="preserve"> =</t>
    </r>
  </si>
  <si>
    <r>
      <t xml:space="preserve">   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n</t>
    </r>
    <r>
      <rPr>
        <sz val="10"/>
        <rFont val="Arial"/>
        <family val="2"/>
      </rPr>
      <t xml:space="preserve"> =</t>
    </r>
  </si>
  <si>
    <t xml:space="preserve">              Theoretical SRT  =</t>
  </si>
  <si>
    <r>
      <t xml:space="preserve">  Design SRT,  </t>
    </r>
    <r>
      <rPr>
        <b/>
        <sz val="11"/>
        <rFont val="Arial"/>
        <family val="2"/>
      </rPr>
      <t xml:space="preserve">SRT </t>
    </r>
    <r>
      <rPr>
        <sz val="10"/>
        <rFont val="Arial"/>
        <family val="2"/>
      </rPr>
      <t xml:space="preserve"> =</t>
    </r>
  </si>
  <si>
    <t xml:space="preserve">  2.  Calculate the Biomass Production Rate</t>
  </si>
  <si>
    <r>
      <t xml:space="preserve">                  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</t>
    </r>
    <r>
      <rPr>
        <sz val="10"/>
        <rFont val="Arial"/>
        <family val="2"/>
      </rPr>
      <t xml:space="preserve"> at </t>
    </r>
    <r>
      <rPr>
        <b/>
        <sz val="11"/>
        <rFont val="Arial"/>
        <family val="2"/>
      </rPr>
      <t>T</t>
    </r>
    <r>
      <rPr>
        <b/>
        <vertAlign val="subscript"/>
        <sz val="11"/>
        <rFont val="Arial"/>
        <family val="2"/>
      </rPr>
      <t>ww</t>
    </r>
    <r>
      <rPr>
        <sz val="10"/>
        <rFont val="Arial"/>
        <family val="2"/>
      </rPr>
      <t xml:space="preserve"> =</t>
    </r>
  </si>
  <si>
    <r>
      <rPr>
        <sz val="11"/>
        <rFont val="Arial"/>
        <family val="2"/>
      </rPr>
      <t xml:space="preserve">  </t>
    </r>
    <r>
      <rPr>
        <b/>
        <sz val="11"/>
        <rFont val="Arial"/>
        <family val="2"/>
      </rPr>
      <t>bCOD</t>
    </r>
    <r>
      <rPr>
        <b/>
        <vertAlign val="subscript"/>
        <sz val="11"/>
        <rFont val="Arial"/>
        <family val="2"/>
      </rPr>
      <t>o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=</t>
    </r>
  </si>
  <si>
    <r>
      <t xml:space="preserve">             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</t>
    </r>
    <r>
      <rPr>
        <sz val="10"/>
        <rFont val="Arial"/>
        <family val="2"/>
      </rPr>
      <t xml:space="preserve"> at </t>
    </r>
    <r>
      <rPr>
        <b/>
        <sz val="11"/>
        <rFont val="Arial"/>
        <family val="2"/>
      </rPr>
      <t>T</t>
    </r>
    <r>
      <rPr>
        <b/>
        <vertAlign val="subscript"/>
        <sz val="11"/>
        <rFont val="Arial"/>
        <family val="2"/>
      </rPr>
      <t>ww</t>
    </r>
    <r>
      <rPr>
        <sz val="10"/>
        <rFont val="Arial"/>
        <family val="2"/>
      </rPr>
      <t xml:space="preserve"> =</t>
    </r>
  </si>
  <si>
    <r>
      <rPr>
        <sz val="11"/>
        <rFont val="Arial"/>
        <family val="2"/>
      </rPr>
      <t xml:space="preserve">       </t>
    </r>
    <r>
      <rPr>
        <b/>
        <sz val="11"/>
        <rFont val="Arial"/>
        <family val="2"/>
      </rPr>
      <t>S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=</t>
    </r>
  </si>
  <si>
    <r>
      <t xml:space="preserve">  Biomass Production Rate, 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X,bio</t>
    </r>
    <r>
      <rPr>
        <sz val="11"/>
        <color theme="1"/>
        <rFont val="Calibri"/>
        <family val="2"/>
        <scheme val="minor"/>
      </rPr>
      <t xml:space="preserve"> =</t>
    </r>
  </si>
  <si>
    <t xml:space="preserve">  3.  Determine the Amount of Nitrogen Oxidized to Nitrate</t>
  </si>
  <si>
    <r>
      <t xml:space="preserve">                 Difference between estimated and calculated values for </t>
    </r>
    <r>
      <rPr>
        <b/>
        <sz val="11"/>
        <rFont val="Arial"/>
        <family val="2"/>
      </rPr>
      <t>NOx</t>
    </r>
    <r>
      <rPr>
        <sz val="10"/>
        <rFont val="Arial"/>
        <family val="2"/>
      </rPr>
      <t xml:space="preserve"> =</t>
    </r>
  </si>
  <si>
    <t xml:space="preserve">          Goal Seek Result:</t>
  </si>
  <si>
    <r>
      <t xml:space="preserve"> Calculated amount of nitrogen oxidized to nitrate, </t>
    </r>
    <r>
      <rPr>
        <b/>
        <sz val="11"/>
        <rFont val="Arial"/>
        <family val="2"/>
      </rPr>
      <t>NOx</t>
    </r>
    <r>
      <rPr>
        <sz val="10"/>
        <rFont val="Arial"/>
        <family val="2"/>
      </rPr>
      <t xml:space="preserve"> =</t>
    </r>
  </si>
  <si>
    <r>
      <t xml:space="preserve">     Amount of nitrogen oxidized to nitrate, </t>
    </r>
    <r>
      <rPr>
        <b/>
        <sz val="11"/>
        <rFont val="Arial"/>
        <family val="2"/>
      </rPr>
      <t>NOx</t>
    </r>
    <r>
      <rPr>
        <sz val="10"/>
        <rFont val="Arial"/>
        <family val="2"/>
      </rPr>
      <t xml:space="preserve"> =</t>
    </r>
  </si>
  <si>
    <t>NOTE:  This is an iterative solution.  You must use Excel's "Goal Seek" to find the NOx value as</t>
  </si>
  <si>
    <t>estimate for NOx in order for the iterative solution to work properly.</t>
  </si>
  <si>
    <t>follows:  Place the cursor on cell G36 and click on "goal seek" (in the "tools" menu of older versions</t>
  </si>
  <si>
    <t>and under "Data What If Analysis" in newer versions of Excel).  Enter values to "Set cell:"  G36, "To</t>
  </si>
  <si>
    <t>value:" 0, "By changing cell:" C14, and click on "OK".  The calculated value of NOx will appear in cell</t>
  </si>
  <si>
    <t>E38 and cell G36 should be zero if the process worked properly.  Note that cell C14 needs an initial</t>
  </si>
  <si>
    <t xml:space="preserve">  4.  Determine the Production Rate and Mass of VSS and TSS in the Aeration Basin</t>
  </si>
  <si>
    <r>
      <rPr>
        <sz val="11"/>
        <rFont val="Arial"/>
        <family val="2"/>
      </rPr>
      <t xml:space="preserve">           </t>
    </r>
    <r>
      <rPr>
        <b/>
        <sz val="11"/>
        <rFont val="Arial"/>
        <family val="2"/>
      </rPr>
      <t>bpCOD/pCOD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=</t>
    </r>
  </si>
  <si>
    <r>
      <t xml:space="preserve">              Aeration Tank VSS Production Rate, 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X,VSS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</si>
  <si>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             Aeration Tank TSS Production Rate, 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X,TSS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</si>
  <si>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      Mass of  </t>
    </r>
    <r>
      <rPr>
        <b/>
        <sz val="11"/>
        <rFont val="Arial"/>
        <family val="2"/>
      </rPr>
      <t>MLVSS</t>
    </r>
    <r>
      <rPr>
        <sz val="11"/>
        <color theme="1"/>
        <rFont val="Calibri"/>
        <family val="2"/>
        <scheme val="minor"/>
      </rPr>
      <t xml:space="preserve"> =</t>
    </r>
  </si>
  <si>
    <r>
      <rPr>
        <sz val="11"/>
        <rFont val="Arial"/>
        <family val="2"/>
      </rPr>
      <t xml:space="preserve">  </t>
    </r>
    <r>
      <rPr>
        <b/>
        <sz val="11"/>
        <rFont val="Arial"/>
        <family val="2"/>
      </rPr>
      <t>nbVSS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=</t>
    </r>
  </si>
  <si>
    <r>
      <t xml:space="preserve">       Mass of  </t>
    </r>
    <r>
      <rPr>
        <b/>
        <sz val="11"/>
        <rFont val="Arial"/>
        <family val="2"/>
      </rPr>
      <t>MLSS</t>
    </r>
    <r>
      <rPr>
        <sz val="11"/>
        <color theme="1"/>
        <rFont val="Calibri"/>
        <family val="2"/>
        <scheme val="minor"/>
      </rPr>
      <t xml:space="preserve"> =</t>
    </r>
  </si>
  <si>
    <t xml:space="preserve">  5. Calculate Aeration Tank Volume and dimensions, Detention Time, and MLVSS</t>
  </si>
  <si>
    <t>(User Input needed in Blue Cells)</t>
  </si>
  <si>
    <r>
      <t xml:space="preserve"> Req. Aeration  Vol.,  </t>
    </r>
    <r>
      <rPr>
        <b/>
        <sz val="12"/>
        <rFont val="Arial"/>
        <family val="2"/>
      </rPr>
      <t>V</t>
    </r>
    <r>
      <rPr>
        <b/>
        <vertAlign val="subscript"/>
        <sz val="12"/>
        <rFont val="Arial"/>
        <family val="2"/>
      </rPr>
      <t>aer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</si>
  <si>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Req. Vol. per tank,  </t>
    </r>
    <r>
      <rPr>
        <b/>
        <sz val="12"/>
        <rFont val="Arial"/>
        <family val="2"/>
      </rPr>
      <t>V</t>
    </r>
    <r>
      <rPr>
        <b/>
        <vertAlign val="subscript"/>
        <sz val="12"/>
        <rFont val="Arial"/>
        <family val="2"/>
      </rPr>
      <t>tank</t>
    </r>
    <r>
      <rPr>
        <sz val="11"/>
        <color theme="1"/>
        <rFont val="Calibri"/>
        <family val="2"/>
        <scheme val="minor"/>
      </rPr>
      <t xml:space="preserve"> =</t>
    </r>
  </si>
  <si>
    <t xml:space="preserve">           Tank Wall Height =</t>
  </si>
  <si>
    <t xml:space="preserve">    Actual Tank liquid Volume =</t>
  </si>
  <si>
    <r>
      <t xml:space="preserve">                  </t>
    </r>
    <r>
      <rPr>
        <b/>
        <sz val="11"/>
        <rFont val="Arial"/>
        <family val="2"/>
      </rPr>
      <t>MLVSS</t>
    </r>
    <r>
      <rPr>
        <sz val="10"/>
        <rFont val="Arial"/>
        <family val="2"/>
      </rPr>
      <t>, =</t>
    </r>
  </si>
  <si>
    <t>cylindrical</t>
  </si>
  <si>
    <r>
      <t xml:space="preserve">    Aeration Det'n time, </t>
    </r>
    <r>
      <rPr>
        <b/>
        <sz val="11"/>
        <rFont val="Symbol"/>
        <family val="1"/>
        <charset val="2"/>
      </rPr>
      <t xml:space="preserve"> </t>
    </r>
    <r>
      <rPr>
        <b/>
        <sz val="12"/>
        <rFont val="Symbol"/>
        <family val="1"/>
        <charset val="2"/>
      </rPr>
      <t>t</t>
    </r>
    <r>
      <rPr>
        <b/>
        <sz val="11"/>
        <rFont val="Symbol"/>
        <family val="1"/>
        <charset val="2"/>
      </rPr>
      <t xml:space="preserve"> </t>
    </r>
    <r>
      <rPr>
        <sz val="11"/>
        <color theme="1"/>
        <rFont val="Calibri"/>
        <family val="2"/>
        <scheme val="minor"/>
      </rPr>
      <t>=</t>
    </r>
  </si>
  <si>
    <t xml:space="preserve">  6.  Calculate F/M and Volumetric BOD Loading</t>
  </si>
  <si>
    <r>
      <t xml:space="preserve">         </t>
    </r>
    <r>
      <rPr>
        <b/>
        <sz val="11"/>
        <rFont val="Arial"/>
        <family val="2"/>
      </rPr>
      <t>F/M</t>
    </r>
    <r>
      <rPr>
        <sz val="10"/>
        <rFont val="Arial"/>
        <family val="2"/>
      </rPr>
      <t xml:space="preserve"> =</t>
    </r>
  </si>
  <si>
    <t xml:space="preserve">    Vol. BOD Loading  =</t>
  </si>
  <si>
    <r>
      <t xml:space="preserve"> Waste A.S. Rate, </t>
    </r>
    <r>
      <rPr>
        <b/>
        <sz val="12"/>
        <rFont val="Arial"/>
        <family val="2"/>
      </rPr>
      <t>Q</t>
    </r>
    <r>
      <rPr>
        <b/>
        <vertAlign val="subscript"/>
        <sz val="12"/>
        <rFont val="Arial"/>
        <family val="2"/>
      </rPr>
      <t>w</t>
    </r>
    <r>
      <rPr>
        <sz val="10"/>
        <rFont val="Arial"/>
        <family val="2"/>
      </rPr>
      <t xml:space="preserve">  =</t>
    </r>
  </si>
  <si>
    <r>
      <t>Aer. + Membr. Vol.,</t>
    </r>
    <r>
      <rPr>
        <b/>
        <sz val="11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V</t>
    </r>
    <r>
      <rPr>
        <b/>
        <vertAlign val="subscript"/>
        <sz val="12"/>
        <color theme="1"/>
        <rFont val="Arial"/>
        <family val="2"/>
      </rPr>
      <t>tot</t>
    </r>
    <r>
      <rPr>
        <sz val="11"/>
        <color theme="1"/>
        <rFont val="Calibri"/>
        <family val="2"/>
        <scheme val="minor"/>
      </rPr>
      <t xml:space="preserve"> =</t>
    </r>
  </si>
  <si>
    <t xml:space="preserve">    Actual Tank Aeration Volume =</t>
  </si>
  <si>
    <t xml:space="preserve">     BOD Removal Nitrification, &amp; PreAnoxic Denitrification</t>
  </si>
  <si>
    <t>Inputs - Additional Design Parameters</t>
  </si>
  <si>
    <t>Mixing energy</t>
  </si>
  <si>
    <t xml:space="preserve">         for anoxic reactor  =</t>
  </si>
  <si>
    <r>
      <t xml:space="preserve">        Effl.  nitrate conc. </t>
    </r>
    <r>
      <rPr>
        <b/>
        <sz val="11"/>
        <rFont val="Arial"/>
        <family val="2"/>
      </rPr>
      <t>N</t>
    </r>
    <r>
      <rPr>
        <b/>
        <vertAlign val="subscript"/>
        <sz val="11"/>
        <rFont val="Arial"/>
        <family val="2"/>
      </rPr>
      <t>e</t>
    </r>
    <r>
      <rPr>
        <sz val="10"/>
        <rFont val="Arial"/>
        <family val="2"/>
      </rPr>
      <t xml:space="preserve">  =</t>
    </r>
  </si>
  <si>
    <t>Design % Excess</t>
  </si>
  <si>
    <r>
      <t xml:space="preserve">   Temp. Coeff for </t>
    </r>
    <r>
      <rPr>
        <b/>
        <sz val="11"/>
        <rFont val="Arial"/>
        <family val="2"/>
      </rPr>
      <t>SDNR</t>
    </r>
    <r>
      <rPr>
        <sz val="10"/>
        <rFont val="Arial"/>
        <family val="2"/>
      </rPr>
      <t xml:space="preserve"> =</t>
    </r>
  </si>
  <si>
    <t xml:space="preserve">            Nitrif. Capacity =</t>
  </si>
  <si>
    <r>
      <t xml:space="preserve">Prelim. est. of det. Time, </t>
    </r>
    <r>
      <rPr>
        <b/>
        <sz val="12"/>
        <rFont val="Arial"/>
        <family val="2"/>
      </rPr>
      <t>t</t>
    </r>
    <r>
      <rPr>
        <b/>
        <vertAlign val="subscript"/>
        <sz val="12"/>
        <rFont val="Arial"/>
        <family val="2"/>
      </rPr>
      <t>an</t>
    </r>
    <r>
      <rPr>
        <sz val="10"/>
        <rFont val="Arial"/>
        <family val="2"/>
      </rPr>
      <t>:</t>
    </r>
  </si>
  <si>
    <t>NOTE:  A preliminary estimate for anoxic detention time is needed in cell C14 to start an</t>
  </si>
  <si>
    <t>iterative calculation of minimum anoxic detention time below.</t>
  </si>
  <si>
    <t xml:space="preserve">     on Worksheet 2 will also be used in this worksheet.)</t>
  </si>
  <si>
    <t xml:space="preserve">  (The wastewater parameters/characteristics and biological kinetic coefficients entered </t>
  </si>
  <si>
    <t>Calculations - Preanoxic basin design for denitrification</t>
  </si>
  <si>
    <r>
      <t xml:space="preserve">  2.  Calculate feed rate of NO</t>
    </r>
    <r>
      <rPr>
        <b/>
        <vertAlign val="subscript"/>
        <sz val="11"/>
        <rFont val="Arial"/>
        <family val="2"/>
      </rPr>
      <t>4</t>
    </r>
    <r>
      <rPr>
        <b/>
        <sz val="11"/>
        <rFont val="Arial"/>
        <family val="2"/>
      </rPr>
      <t>-N to anoxic tank and anoxic tank volume</t>
    </r>
  </si>
  <si>
    <t xml:space="preserve">    Flow rate to anoxic tank =</t>
  </si>
  <si>
    <t xml:space="preserve">  3.  Calculate the F/M ratio</t>
  </si>
  <si>
    <t xml:space="preserve">       Anoxic tank F/M ratio =</t>
  </si>
  <si>
    <t xml:space="preserve">  4.  Calculate the SDNR</t>
  </si>
  <si>
    <r>
      <t xml:space="preserve"> NO</t>
    </r>
    <r>
      <rPr>
        <vertAlign val="subscript"/>
        <sz val="10"/>
        <rFont val="Arial"/>
        <family val="2"/>
      </rPr>
      <t>X</t>
    </r>
    <r>
      <rPr>
        <sz val="10"/>
        <rFont val="Arial"/>
        <family val="2"/>
      </rPr>
      <t xml:space="preserve"> rate to anoxic tank =</t>
    </r>
  </si>
  <si>
    <r>
      <t xml:space="preserve">Anoxic tank volume, </t>
    </r>
    <r>
      <rPr>
        <b/>
        <sz val="12"/>
        <rFont val="Arial"/>
        <family val="2"/>
      </rPr>
      <t>V</t>
    </r>
    <r>
      <rPr>
        <b/>
        <vertAlign val="subscript"/>
        <sz val="12"/>
        <rFont val="Arial"/>
        <family val="2"/>
      </rPr>
      <t>an</t>
    </r>
    <r>
      <rPr>
        <sz val="10"/>
        <rFont val="Arial"/>
        <family val="2"/>
      </rPr>
      <t xml:space="preserve"> =</t>
    </r>
  </si>
  <si>
    <r>
      <t xml:space="preserve">       </t>
    </r>
    <r>
      <rPr>
        <b/>
        <sz val="11"/>
        <rFont val="Arial"/>
        <family val="2"/>
      </rPr>
      <t>rbCOD/bCOD</t>
    </r>
    <r>
      <rPr>
        <sz val="10"/>
        <rFont val="Arial"/>
        <family val="2"/>
      </rPr>
      <t xml:space="preserve"> ratio =</t>
    </r>
  </si>
  <si>
    <t xml:space="preserve">      SDNR for rbCOD/bCOD =</t>
  </si>
  <si>
    <r>
      <t xml:space="preserve">   </t>
    </r>
    <r>
      <rPr>
        <b/>
        <sz val="11"/>
        <rFont val="Arial"/>
        <family val="2"/>
      </rPr>
      <t xml:space="preserve">  SDNR</t>
    </r>
    <r>
      <rPr>
        <sz val="10"/>
        <rFont val="Arial"/>
        <family val="2"/>
      </rPr>
      <t xml:space="preserve"> for rbCOD/bCOD =</t>
    </r>
  </si>
  <si>
    <r>
      <t xml:space="preserve">          </t>
    </r>
    <r>
      <rPr>
        <b/>
        <sz val="11"/>
        <rFont val="Arial"/>
        <family val="2"/>
      </rPr>
      <t xml:space="preserve">  </t>
    </r>
    <r>
      <rPr>
        <sz val="11"/>
        <rFont val="Arial"/>
        <family val="2"/>
      </rPr>
      <t>at</t>
    </r>
    <r>
      <rPr>
        <b/>
        <sz val="11"/>
        <rFont val="Arial"/>
        <family val="2"/>
      </rPr>
      <t xml:space="preserve"> T</t>
    </r>
    <r>
      <rPr>
        <b/>
        <vertAlign val="subscript"/>
        <sz val="11"/>
        <rFont val="Arial"/>
        <family val="2"/>
      </rPr>
      <t>ww</t>
    </r>
    <r>
      <rPr>
        <b/>
        <sz val="11"/>
        <rFont val="Arial"/>
        <family val="2"/>
      </rPr>
      <t>, SDNR</t>
    </r>
    <r>
      <rPr>
        <sz val="10"/>
        <rFont val="Arial"/>
        <family val="2"/>
      </rPr>
      <t xml:space="preserve"> =</t>
    </r>
  </si>
  <si>
    <t xml:space="preserve">           Next lower rbCOD/bCOD value from table:</t>
  </si>
  <si>
    <t xml:space="preserve">          Next higher rbCOD/bCOD value from table:</t>
  </si>
  <si>
    <t>Coefficients for SDNR Equation</t>
  </si>
  <si>
    <t>rbCOD/bCOD</t>
  </si>
  <si>
    <t xml:space="preserve">    is equal to:</t>
  </si>
  <si>
    <t xml:space="preserve">  5.  Calculate the Anoxic Tank Volume, Dimensions and Detention Time</t>
  </si>
  <si>
    <r>
      <t xml:space="preserve">  </t>
    </r>
    <r>
      <rPr>
        <b/>
        <sz val="11"/>
        <rFont val="Arial"/>
        <family val="2"/>
      </rPr>
      <t>NO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-N</t>
    </r>
    <r>
      <rPr>
        <sz val="10"/>
        <rFont val="Arial"/>
        <family val="2"/>
      </rPr>
      <t xml:space="preserve"> reduction capacity =</t>
    </r>
  </si>
  <si>
    <t xml:space="preserve">           Difference between Design and Calculated % Excess Nitrification Capacity =</t>
  </si>
  <si>
    <r>
      <t xml:space="preserve">Anoxic Tank min. Vol., </t>
    </r>
    <r>
      <rPr>
        <b/>
        <sz val="12"/>
        <rFont val="Arial"/>
        <family val="2"/>
      </rPr>
      <t>V</t>
    </r>
    <r>
      <rPr>
        <b/>
        <vertAlign val="subscript"/>
        <sz val="12"/>
        <rFont val="Arial"/>
        <family val="2"/>
      </rPr>
      <t>an</t>
    </r>
    <r>
      <rPr>
        <sz val="11"/>
        <color theme="1"/>
        <rFont val="Calibri"/>
        <family val="2"/>
        <scheme val="minor"/>
      </rPr>
      <t xml:space="preserve"> =</t>
    </r>
  </si>
  <si>
    <r>
      <t>NOTE:  This is an iterative solution.  You must use Excel's "Goal Seek" to find the V</t>
    </r>
    <r>
      <rPr>
        <b/>
        <vertAlign val="subscript"/>
        <sz val="11"/>
        <color indexed="12"/>
        <rFont val="Arial"/>
        <family val="2"/>
      </rPr>
      <t>an</t>
    </r>
    <r>
      <rPr>
        <b/>
        <sz val="11"/>
        <color indexed="12"/>
        <rFont val="Arial"/>
        <family val="2"/>
      </rPr>
      <t xml:space="preserve"> vand t</t>
    </r>
    <r>
      <rPr>
        <b/>
        <vertAlign val="subscript"/>
        <sz val="11"/>
        <color indexed="12"/>
        <rFont val="Arial"/>
        <family val="2"/>
      </rPr>
      <t>an</t>
    </r>
  </si>
  <si>
    <t>older versions and under "Data What If Analysis" in newer versions of Excel).  Enter values to</t>
  </si>
  <si>
    <r>
      <t>A preliminary estimate for t</t>
    </r>
    <r>
      <rPr>
        <b/>
        <vertAlign val="subscript"/>
        <sz val="11"/>
        <color indexed="12"/>
        <rFont val="Arial"/>
        <family val="2"/>
      </rPr>
      <t>an</t>
    </r>
    <r>
      <rPr>
        <b/>
        <sz val="11"/>
        <color indexed="12"/>
        <rFont val="Arial"/>
        <family val="2"/>
      </rPr>
      <t xml:space="preserve"> is needed in cell C14 in order for the iterative solution to work.</t>
    </r>
  </si>
  <si>
    <t xml:space="preserve"> % Excess Nitrif. Capacity:</t>
  </si>
  <si>
    <r>
      <t xml:space="preserve"> min. Anox. Det. Time, </t>
    </r>
    <r>
      <rPr>
        <b/>
        <sz val="12"/>
        <rFont val="Arial"/>
        <family val="2"/>
      </rPr>
      <t>t</t>
    </r>
    <r>
      <rPr>
        <b/>
        <vertAlign val="subscript"/>
        <sz val="12"/>
        <rFont val="Arial"/>
        <family val="2"/>
      </rPr>
      <t>an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</si>
  <si>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Min. Vol. per tank,  </t>
    </r>
    <r>
      <rPr>
        <b/>
        <sz val="12"/>
        <rFont val="Arial"/>
        <family val="2"/>
      </rPr>
      <t>V</t>
    </r>
    <r>
      <rPr>
        <b/>
        <vertAlign val="subscript"/>
        <sz val="12"/>
        <rFont val="Arial"/>
        <family val="2"/>
      </rPr>
      <t>tank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</si>
  <si>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     Anoxic Det'n time, </t>
    </r>
    <r>
      <rPr>
        <b/>
        <sz val="11"/>
        <rFont val="Symbol"/>
        <family val="1"/>
        <charset val="2"/>
      </rPr>
      <t xml:space="preserve"> </t>
    </r>
    <r>
      <rPr>
        <b/>
        <sz val="12"/>
        <rFont val="Symbol"/>
        <family val="1"/>
        <charset val="2"/>
      </rPr>
      <t>t</t>
    </r>
    <r>
      <rPr>
        <b/>
        <sz val="11"/>
        <rFont val="Symbol"/>
        <family val="1"/>
        <charset val="2"/>
      </rPr>
      <t xml:space="preserve"> </t>
    </r>
    <r>
      <rPr>
        <sz val="11"/>
        <color theme="1"/>
        <rFont val="Calibri"/>
        <family val="2"/>
        <scheme val="minor"/>
      </rPr>
      <t>=</t>
    </r>
  </si>
  <si>
    <t xml:space="preserve">  Number of Anoxic Tanks =</t>
  </si>
  <si>
    <r>
      <t xml:space="preserve">Equations used for the calculations:  </t>
    </r>
    <r>
      <rPr>
        <sz val="11"/>
        <rFont val="Arial"/>
        <family val="2"/>
      </rPr>
      <t>(note that conversion factors are needed in some of the equations)</t>
    </r>
  </si>
  <si>
    <r>
      <t>m</t>
    </r>
    <r>
      <rPr>
        <b/>
        <vertAlign val="subscript"/>
        <sz val="12"/>
        <rFont val="Arial"/>
        <family val="2"/>
      </rPr>
      <t>nm</t>
    </r>
    <r>
      <rPr>
        <b/>
        <sz val="12"/>
        <rFont val="Arial"/>
        <family val="2"/>
      </rPr>
      <t xml:space="preserve"> at T</t>
    </r>
    <r>
      <rPr>
        <b/>
        <vertAlign val="subscript"/>
        <sz val="12"/>
        <rFont val="Arial"/>
        <family val="2"/>
      </rPr>
      <t>ww</t>
    </r>
    <r>
      <rPr>
        <b/>
        <sz val="12"/>
        <rFont val="Arial"/>
        <family val="2"/>
      </rPr>
      <t xml:space="preserve"> = 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nm,20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q</t>
    </r>
    <r>
      <rPr>
        <b/>
        <vertAlign val="superscript"/>
        <sz val="12"/>
        <rFont val="Arial"/>
        <family val="2"/>
      </rPr>
      <t>Tww - 20</t>
    </r>
  </si>
  <si>
    <r>
      <t>K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at T</t>
    </r>
    <r>
      <rPr>
        <b/>
        <vertAlign val="subscript"/>
        <sz val="12"/>
        <rFont val="Arial"/>
        <family val="2"/>
      </rPr>
      <t>ww</t>
    </r>
    <r>
      <rPr>
        <b/>
        <sz val="12"/>
        <rFont val="Arial"/>
        <family val="2"/>
      </rPr>
      <t xml:space="preserve"> = 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n,20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q</t>
    </r>
    <r>
      <rPr>
        <b/>
        <vertAlign val="superscript"/>
        <sz val="12"/>
        <rFont val="Arial"/>
        <family val="2"/>
      </rPr>
      <t>Tww - 20</t>
    </r>
  </si>
  <si>
    <r>
      <t>k</t>
    </r>
    <r>
      <rPr>
        <b/>
        <vertAlign val="subscript"/>
        <sz val="12"/>
        <rFont val="Arial"/>
        <family val="2"/>
      </rPr>
      <t>dn</t>
    </r>
    <r>
      <rPr>
        <b/>
        <sz val="12"/>
        <rFont val="Arial"/>
        <family val="2"/>
      </rPr>
      <t xml:space="preserve"> at T</t>
    </r>
    <r>
      <rPr>
        <b/>
        <vertAlign val="subscript"/>
        <sz val="12"/>
        <rFont val="Arial"/>
        <family val="2"/>
      </rPr>
      <t>ww</t>
    </r>
    <r>
      <rPr>
        <b/>
        <sz val="12"/>
        <rFont val="Arial"/>
        <family val="2"/>
      </rPr>
      <t xml:space="preserve"> = 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dn,20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q</t>
    </r>
    <r>
      <rPr>
        <b/>
        <vertAlign val="superscript"/>
        <sz val="12"/>
        <rFont val="Arial"/>
        <family val="2"/>
      </rPr>
      <t>Tww - 20</t>
    </r>
  </si>
  <si>
    <r>
      <t xml:space="preserve"> (Tww must be in </t>
    </r>
    <r>
      <rPr>
        <vertAlign val="superscript"/>
        <sz val="10"/>
        <rFont val="Arial"/>
        <family val="2"/>
      </rPr>
      <t>o</t>
    </r>
    <r>
      <rPr>
        <sz val="11"/>
        <color theme="1"/>
        <rFont val="Calibri"/>
        <family val="2"/>
        <scheme val="minor"/>
      </rPr>
      <t>C for these calculations)</t>
    </r>
  </si>
  <si>
    <r>
      <t>m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=  [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nm</t>
    </r>
    <r>
      <rPr>
        <b/>
        <sz val="12"/>
        <rFont val="Arial"/>
        <family val="2"/>
      </rPr>
      <t>N/(K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+ N) ] [ DO/(K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+ DO) ] - k</t>
    </r>
    <r>
      <rPr>
        <b/>
        <vertAlign val="subscript"/>
        <sz val="12"/>
        <rFont val="Arial"/>
        <family val="2"/>
      </rPr>
      <t>dn</t>
    </r>
  </si>
  <si>
    <r>
      <t xml:space="preserve">    Theroetical SRT  =  1/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n</t>
    </r>
  </si>
  <si>
    <r>
      <t>Design SRT = (FS)(Theoretical SRT)               FS = TKN</t>
    </r>
    <r>
      <rPr>
        <b/>
        <vertAlign val="subscript"/>
        <sz val="11"/>
        <rFont val="Arial"/>
        <family val="2"/>
      </rPr>
      <t>peak</t>
    </r>
    <r>
      <rPr>
        <b/>
        <sz val="11"/>
        <rFont val="Arial"/>
        <family val="2"/>
      </rPr>
      <t>/TKN</t>
    </r>
    <r>
      <rPr>
        <b/>
        <vertAlign val="subscript"/>
        <sz val="11"/>
        <rFont val="Arial"/>
        <family val="2"/>
      </rPr>
      <t>average</t>
    </r>
  </si>
  <si>
    <t xml:space="preserve"> </t>
  </si>
  <si>
    <r>
      <t>P</t>
    </r>
    <r>
      <rPr>
        <b/>
        <vertAlign val="subscript"/>
        <sz val="11"/>
        <rFont val="Arial"/>
        <family val="2"/>
      </rPr>
      <t>X,bio</t>
    </r>
    <r>
      <rPr>
        <b/>
        <sz val="11"/>
        <rFont val="Arial"/>
        <family val="2"/>
      </rPr>
      <t xml:space="preserve"> = QY(S</t>
    </r>
    <r>
      <rPr>
        <b/>
        <vertAlign val="subscript"/>
        <sz val="11"/>
        <rFont val="Arial"/>
        <family val="2"/>
      </rPr>
      <t>o</t>
    </r>
    <r>
      <rPr>
        <b/>
        <sz val="11"/>
        <rFont val="Arial"/>
        <family val="2"/>
      </rPr>
      <t xml:space="preserve"> - S)/(1 + k</t>
    </r>
    <r>
      <rPr>
        <b/>
        <vertAlign val="subscript"/>
        <sz val="11"/>
        <rFont val="Arial"/>
        <family val="2"/>
      </rPr>
      <t>d</t>
    </r>
    <r>
      <rPr>
        <b/>
        <sz val="11"/>
        <rFont val="Arial"/>
        <family val="2"/>
      </rPr>
      <t>SRT)  +  f</t>
    </r>
    <r>
      <rPr>
        <b/>
        <vertAlign val="subscript"/>
        <sz val="11"/>
        <rFont val="Arial"/>
        <family val="2"/>
      </rPr>
      <t>d</t>
    </r>
    <r>
      <rPr>
        <b/>
        <sz val="11"/>
        <rFont val="Arial"/>
        <family val="2"/>
      </rPr>
      <t>k</t>
    </r>
    <r>
      <rPr>
        <b/>
        <vertAlign val="subscript"/>
        <sz val="11"/>
        <rFont val="Arial"/>
        <family val="2"/>
      </rPr>
      <t>d</t>
    </r>
    <r>
      <rPr>
        <b/>
        <sz val="11"/>
        <rFont val="Arial"/>
        <family val="2"/>
      </rPr>
      <t>QY(S</t>
    </r>
    <r>
      <rPr>
        <b/>
        <vertAlign val="subscript"/>
        <sz val="11"/>
        <rFont val="Arial"/>
        <family val="2"/>
      </rPr>
      <t>o</t>
    </r>
    <r>
      <rPr>
        <b/>
        <sz val="11"/>
        <rFont val="Arial"/>
        <family val="2"/>
      </rPr>
      <t xml:space="preserve"> - S)SRT/(1 + k</t>
    </r>
    <r>
      <rPr>
        <b/>
        <vertAlign val="subscript"/>
        <sz val="11"/>
        <rFont val="Arial"/>
        <family val="2"/>
      </rPr>
      <t>d</t>
    </r>
    <r>
      <rPr>
        <b/>
        <sz val="11"/>
        <rFont val="Arial"/>
        <family val="2"/>
      </rPr>
      <t>SRT)  +  QY</t>
    </r>
    <r>
      <rPr>
        <b/>
        <vertAlign val="subscript"/>
        <sz val="11"/>
        <rFont val="Arial"/>
        <family val="2"/>
      </rPr>
      <t>n</t>
    </r>
    <r>
      <rPr>
        <b/>
        <sz val="11"/>
        <rFont val="Arial"/>
        <family val="2"/>
      </rPr>
      <t>(NO</t>
    </r>
    <r>
      <rPr>
        <b/>
        <vertAlign val="subscript"/>
        <sz val="11"/>
        <rFont val="Arial"/>
        <family val="2"/>
      </rPr>
      <t>x</t>
    </r>
    <r>
      <rPr>
        <b/>
        <sz val="11"/>
        <rFont val="Arial"/>
        <family val="2"/>
      </rPr>
      <t>)/(1 + k</t>
    </r>
    <r>
      <rPr>
        <b/>
        <vertAlign val="subscript"/>
        <sz val="11"/>
        <rFont val="Arial"/>
        <family val="2"/>
      </rPr>
      <t>dn</t>
    </r>
    <r>
      <rPr>
        <b/>
        <sz val="11"/>
        <rFont val="Arial"/>
        <family val="2"/>
      </rPr>
      <t>SRT)</t>
    </r>
  </si>
  <si>
    <r>
      <t>NO</t>
    </r>
    <r>
      <rPr>
        <b/>
        <vertAlign val="subscript"/>
        <sz val="12"/>
        <rFont val="Arial"/>
        <family val="2"/>
      </rPr>
      <t>x</t>
    </r>
    <r>
      <rPr>
        <b/>
        <sz val="12"/>
        <rFont val="Arial"/>
        <family val="2"/>
      </rPr>
      <t xml:space="preserve"> = TKN - N</t>
    </r>
    <r>
      <rPr>
        <b/>
        <vertAlign val="subscript"/>
        <sz val="12"/>
        <rFont val="Arial"/>
        <family val="2"/>
      </rPr>
      <t>e</t>
    </r>
    <r>
      <rPr>
        <b/>
        <sz val="12"/>
        <rFont val="Arial"/>
        <family val="2"/>
      </rPr>
      <t xml:space="preserve"> - 0.12P</t>
    </r>
    <r>
      <rPr>
        <b/>
        <vertAlign val="subscript"/>
        <sz val="12"/>
        <rFont val="Arial"/>
        <family val="2"/>
      </rPr>
      <t>X,bio</t>
    </r>
    <r>
      <rPr>
        <b/>
        <sz val="12"/>
        <rFont val="Arial"/>
        <family val="2"/>
      </rPr>
      <t>/Q</t>
    </r>
  </si>
  <si>
    <r>
      <t>P</t>
    </r>
    <r>
      <rPr>
        <b/>
        <vertAlign val="subscript"/>
        <sz val="12"/>
        <rFont val="Arial"/>
        <family val="2"/>
      </rPr>
      <t>X,VSS</t>
    </r>
    <r>
      <rPr>
        <b/>
        <sz val="12"/>
        <rFont val="Arial"/>
        <family val="2"/>
      </rPr>
      <t xml:space="preserve"> = P</t>
    </r>
    <r>
      <rPr>
        <b/>
        <vertAlign val="subscript"/>
        <sz val="12"/>
        <rFont val="Arial"/>
        <family val="2"/>
      </rPr>
      <t>X,bio</t>
    </r>
    <r>
      <rPr>
        <b/>
        <sz val="12"/>
        <rFont val="Arial"/>
        <family val="2"/>
      </rPr>
      <t xml:space="preserve"> + Q(nbVSS)</t>
    </r>
  </si>
  <si>
    <r>
      <t>P</t>
    </r>
    <r>
      <rPr>
        <b/>
        <vertAlign val="subscript"/>
        <sz val="12"/>
        <rFont val="Arial"/>
        <family val="2"/>
      </rPr>
      <t>X,TSS</t>
    </r>
    <r>
      <rPr>
        <b/>
        <sz val="12"/>
        <rFont val="Arial"/>
        <family val="2"/>
      </rPr>
      <t xml:space="preserve"> = P</t>
    </r>
    <r>
      <rPr>
        <b/>
        <vertAlign val="subscript"/>
        <sz val="12"/>
        <rFont val="Arial"/>
        <family val="2"/>
      </rPr>
      <t>X,VSS</t>
    </r>
    <r>
      <rPr>
        <b/>
        <sz val="12"/>
        <rFont val="Arial"/>
        <family val="2"/>
      </rPr>
      <t xml:space="preserve"> + Q(TSS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- VSS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>)</t>
    </r>
  </si>
  <si>
    <t>V = Mass of MLSS/MLSS</t>
  </si>
  <si>
    <r>
      <t>Mass of MLVSS = (P</t>
    </r>
    <r>
      <rPr>
        <b/>
        <vertAlign val="subscript"/>
        <sz val="12"/>
        <rFont val="Arial"/>
        <family val="2"/>
      </rPr>
      <t>X,VSS</t>
    </r>
    <r>
      <rPr>
        <b/>
        <sz val="12"/>
        <rFont val="Arial"/>
        <family val="2"/>
      </rPr>
      <t>) SRT</t>
    </r>
  </si>
  <si>
    <r>
      <t>Mass of MLSS = (P</t>
    </r>
    <r>
      <rPr>
        <b/>
        <vertAlign val="subscript"/>
        <sz val="12"/>
        <rFont val="Arial"/>
        <family val="2"/>
      </rPr>
      <t>X,TSS</t>
    </r>
    <r>
      <rPr>
        <b/>
        <sz val="12"/>
        <rFont val="Arial"/>
        <family val="2"/>
      </rPr>
      <t>) SRT</t>
    </r>
  </si>
  <si>
    <r>
      <t>detention time: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t</t>
    </r>
    <r>
      <rPr>
        <b/>
        <sz val="12"/>
        <rFont val="Arial"/>
        <family val="2"/>
      </rPr>
      <t xml:space="preserve"> = V/Q</t>
    </r>
  </si>
  <si>
    <r>
      <t>F/M  =  QS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>/XV</t>
    </r>
  </si>
  <si>
    <r>
      <t>Vol BOD loading  =  QS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>/V</t>
    </r>
  </si>
  <si>
    <t>Rules of Thumb for Estimating Oxygen/Air Requirements for Coarse or Fine Bubble Diffusers</t>
  </si>
  <si>
    <t xml:space="preserve">Source: </t>
  </si>
  <si>
    <t>http://www.xylemwatersolutions.com/scs/sweden/sv-se/produkter/cirkulationspumpar/documents/san3.pdf</t>
  </si>
  <si>
    <t>3.  The typical SOTE is 0.75% per foot (2.46%/m) of diffuser submergence for a coarse bubble system</t>
  </si>
  <si>
    <t>4.  The typical SOTE is 2.0% per foot (6.56%/m) of diffuser submergence for a fine bubble system</t>
  </si>
  <si>
    <r>
      <t>5.  1 SCF of air weighs 0.075 lb/ft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 xml:space="preserve"> (1.20 kg/m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>) and contains 23% oxygen by weight, thus:</t>
    </r>
  </si>
  <si>
    <t>6.  Air contains 0.0173 lbm of oxygen per SCF (0.2770 kg oxygen/SCM)</t>
  </si>
  <si>
    <t>i)  INPUTS (Values of "Rule of Thumb" Constants for the Calculations - See info at right)</t>
  </si>
  <si>
    <r>
      <t xml:space="preserve">   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needed per kg BOD =</t>
    </r>
  </si>
  <si>
    <t xml:space="preserve">   Depth of Diffusers =</t>
  </si>
  <si>
    <r>
      <t xml:space="preserve">   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needed per kg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=</t>
    </r>
  </si>
  <si>
    <t xml:space="preserve">  Standard Temperature =</t>
  </si>
  <si>
    <t>SOTE as Function of Depth =</t>
  </si>
  <si>
    <t xml:space="preserve">      Standard Pressure =</t>
  </si>
  <si>
    <t xml:space="preserve">        AOTE/SOTE   =</t>
  </si>
  <si>
    <t xml:space="preserve">  Atmospheric Pressure =</t>
  </si>
  <si>
    <t>Press. Drop across Diffuser =</t>
  </si>
  <si>
    <t xml:space="preserve">      Air Density at STP  =</t>
  </si>
  <si>
    <t xml:space="preserve">        (from mfr/vendor)</t>
  </si>
  <si>
    <r>
      <t xml:space="preserve">        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Content in Air =</t>
    </r>
  </si>
  <si>
    <t>ii)  Calculations</t>
  </si>
  <si>
    <r>
      <t xml:space="preserve">Press. at mid depth, </t>
    </r>
    <r>
      <rPr>
        <b/>
        <sz val="12"/>
        <rFont val="Arial"/>
        <family val="2"/>
      </rPr>
      <t>P</t>
    </r>
    <r>
      <rPr>
        <b/>
        <vertAlign val="subscript"/>
        <sz val="12"/>
        <rFont val="Arial"/>
        <family val="2"/>
      </rPr>
      <t>D</t>
    </r>
    <r>
      <rPr>
        <vertAlign val="subscript"/>
        <sz val="10"/>
        <rFont val="Arial"/>
        <family val="2"/>
      </rPr>
      <t xml:space="preserve">  </t>
    </r>
    <r>
      <rPr>
        <sz val="10"/>
        <rFont val="Arial"/>
        <family val="2"/>
      </rPr>
      <t>=</t>
    </r>
  </si>
  <si>
    <t xml:space="preserve">  Oxygen Requirement =</t>
  </si>
  <si>
    <r>
      <t xml:space="preserve">    </t>
    </r>
    <r>
      <rPr>
        <b/>
        <sz val="11"/>
        <rFont val="Arial"/>
        <family val="2"/>
      </rPr>
      <t>SOTE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</si>
  <si>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</t>
    </r>
    <r>
      <rPr>
        <b/>
        <sz val="11"/>
        <rFont val="Arial"/>
        <family val="2"/>
      </rPr>
      <t>AOTE</t>
    </r>
    <r>
      <rPr>
        <sz val="11"/>
        <color theme="1"/>
        <rFont val="Calibri"/>
        <family val="2"/>
        <scheme val="minor"/>
      </rPr>
      <t xml:space="preserve"> =</t>
    </r>
  </si>
  <si>
    <t xml:space="preserve">        Air Requirement =</t>
  </si>
  <si>
    <t>Blower Outlet Pressure =</t>
  </si>
  <si>
    <r>
      <t xml:space="preserve">NOx feed rate = </t>
    </r>
    <r>
      <rPr>
        <b/>
        <sz val="12"/>
        <rFont val="Arial"/>
        <family val="2"/>
      </rPr>
      <t>(Q</t>
    </r>
    <r>
      <rPr>
        <b/>
        <vertAlign val="subscript"/>
        <sz val="12"/>
        <rFont val="Arial"/>
        <family val="2"/>
      </rPr>
      <t>anox</t>
    </r>
    <r>
      <rPr>
        <b/>
        <sz val="12"/>
        <rFont val="Arial"/>
        <family val="2"/>
      </rPr>
      <t>)(NOX</t>
    </r>
    <r>
      <rPr>
        <b/>
        <vertAlign val="subscript"/>
        <sz val="12"/>
        <rFont val="Arial"/>
        <family val="2"/>
      </rPr>
      <t>RAS</t>
    </r>
    <r>
      <rPr>
        <b/>
        <sz val="12"/>
        <rFont val="Arial"/>
        <family val="2"/>
      </rPr>
      <t>)</t>
    </r>
  </si>
  <si>
    <r>
      <t xml:space="preserve">Anoxic volume:     </t>
    </r>
    <r>
      <rPr>
        <b/>
        <sz val="12"/>
        <rFont val="Arial"/>
        <family val="2"/>
      </rPr>
      <t>V</t>
    </r>
    <r>
      <rPr>
        <b/>
        <vertAlign val="subscript"/>
        <sz val="12"/>
        <rFont val="Arial"/>
        <family val="2"/>
      </rPr>
      <t>anox</t>
    </r>
    <r>
      <rPr>
        <b/>
        <sz val="12"/>
        <rFont val="Arial"/>
        <family val="2"/>
      </rPr>
      <t xml:space="preserve">  =  </t>
    </r>
    <r>
      <rPr>
        <b/>
        <sz val="12"/>
        <rFont val="Symbol"/>
        <family val="1"/>
        <charset val="2"/>
      </rPr>
      <t xml:space="preserve">t </t>
    </r>
    <r>
      <rPr>
        <b/>
        <sz val="12"/>
        <rFont val="Arial"/>
        <family val="2"/>
      </rPr>
      <t>Q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        ( </t>
    </r>
    <r>
      <rPr>
        <b/>
        <sz val="12"/>
        <rFont val="Symbol"/>
        <family val="1"/>
        <charset val="2"/>
      </rPr>
      <t>t</t>
    </r>
    <r>
      <rPr>
        <sz val="11"/>
        <color theme="1"/>
        <rFont val="Calibri"/>
        <family val="2"/>
        <scheme val="minor"/>
      </rPr>
      <t xml:space="preserve"> = estimated detention time )</t>
    </r>
  </si>
  <si>
    <r>
      <t>Rate at which NO</t>
    </r>
    <r>
      <rPr>
        <vertAlign val="sub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 xml:space="preserve">-N can be reduced:  </t>
    </r>
    <r>
      <rPr>
        <b/>
        <sz val="12"/>
        <rFont val="Arial"/>
        <family val="2"/>
      </rPr>
      <t xml:space="preserve"> NO</t>
    </r>
    <r>
      <rPr>
        <b/>
        <vertAlign val="subscript"/>
        <sz val="12"/>
        <rFont val="Arial"/>
        <family val="2"/>
      </rPr>
      <t>r</t>
    </r>
    <r>
      <rPr>
        <b/>
        <sz val="12"/>
        <rFont val="Arial"/>
        <family val="2"/>
      </rPr>
      <t xml:space="preserve">  =  V</t>
    </r>
    <r>
      <rPr>
        <b/>
        <vertAlign val="subscript"/>
        <sz val="12"/>
        <rFont val="Arial"/>
        <family val="2"/>
      </rPr>
      <t>anox</t>
    </r>
    <r>
      <rPr>
        <b/>
        <sz val="12"/>
        <rFont val="Arial"/>
        <family val="2"/>
      </rPr>
      <t>(SDNR)(MLVSS)</t>
    </r>
  </si>
  <si>
    <t xml:space="preserve">   Flow Diagram - Membrane Bioreactor for BOD Removal, Nitrification &amp; Denitrification</t>
  </si>
  <si>
    <r>
      <t xml:space="preserve">Oxygen credit for nitrate reduction  =  </t>
    </r>
    <r>
      <rPr>
        <b/>
        <sz val="12"/>
        <rFont val="Arial"/>
        <family val="2"/>
      </rPr>
      <t>2.86 Q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>(NO</t>
    </r>
    <r>
      <rPr>
        <b/>
        <vertAlign val="subscript"/>
        <sz val="12"/>
        <rFont val="Arial"/>
        <family val="2"/>
      </rPr>
      <t>x</t>
    </r>
    <r>
      <rPr>
        <b/>
        <sz val="12"/>
        <rFont val="Arial"/>
        <family val="2"/>
      </rPr>
      <t xml:space="preserve"> - N</t>
    </r>
    <r>
      <rPr>
        <b/>
        <vertAlign val="subscript"/>
        <sz val="12"/>
        <rFont val="Arial"/>
        <family val="2"/>
      </rPr>
      <t>e</t>
    </r>
    <r>
      <rPr>
        <b/>
        <sz val="12"/>
        <rFont val="Arial"/>
        <family val="2"/>
      </rPr>
      <t>)</t>
    </r>
  </si>
  <si>
    <r>
      <t xml:space="preserve">Alkalinity produced by nitrate reduction =  </t>
    </r>
    <r>
      <rPr>
        <b/>
        <sz val="12"/>
        <rFont val="Arial"/>
        <family val="2"/>
      </rPr>
      <t>3.57(NO</t>
    </r>
    <r>
      <rPr>
        <b/>
        <vertAlign val="subscript"/>
        <sz val="12"/>
        <rFont val="Arial"/>
        <family val="2"/>
      </rPr>
      <t>x</t>
    </r>
    <r>
      <rPr>
        <b/>
        <sz val="12"/>
        <rFont val="Arial"/>
        <family val="2"/>
      </rPr>
      <t xml:space="preserve"> - N</t>
    </r>
    <r>
      <rPr>
        <b/>
        <vertAlign val="subscript"/>
        <sz val="12"/>
        <rFont val="Arial"/>
        <family val="2"/>
      </rPr>
      <t>e</t>
    </r>
    <r>
      <rPr>
        <b/>
        <sz val="12"/>
        <rFont val="Arial"/>
        <family val="2"/>
      </rPr>
      <t>)</t>
    </r>
  </si>
  <si>
    <t xml:space="preserve">              Flow Diagram - Membrane Bioreactor for BOD Removal &amp; Nitrification</t>
  </si>
  <si>
    <t xml:space="preserve">  8.  Oxygen/Air Requirement and Blower Calculations (for the Aeration Tank)</t>
  </si>
  <si>
    <t>Scouring Air Flow Required:</t>
  </si>
  <si>
    <t xml:space="preserve">     (This is the scouring air flow rate needed for the membrane module,</t>
  </si>
  <si>
    <t xml:space="preserve">          typically provided by a coarse bubble diffuser system.)</t>
  </si>
  <si>
    <t xml:space="preserve">  9. Calculate Alkalinity Requirement</t>
  </si>
  <si>
    <t xml:space="preserve">    Alk. used for nitrification =</t>
  </si>
  <si>
    <t xml:space="preserve">             Alkalinity needed =</t>
  </si>
  <si>
    <t xml:space="preserve">               Sodium bicarbonate needed per day to maintain alkalinity  =</t>
  </si>
  <si>
    <t xml:space="preserve">     (This is the air flow rate needed for the aeration tank,</t>
  </si>
  <si>
    <t xml:space="preserve">          typically provided by a fine bubble diffuser system.)</t>
  </si>
  <si>
    <r>
      <t xml:space="preserve"> mg/L as CaCO</t>
    </r>
    <r>
      <rPr>
        <vertAlign val="subscript"/>
        <sz val="10"/>
        <rFont val="Arial"/>
        <family val="2"/>
      </rPr>
      <t>3</t>
    </r>
  </si>
  <si>
    <t xml:space="preserve">         Alkalinity needed =</t>
  </si>
  <si>
    <t xml:space="preserve">  6.  Recalculate the oxygen/air requirement due to the nitrate reduction oxygen credit</t>
  </si>
  <si>
    <t xml:space="preserve">                Oxygen credit  =</t>
  </si>
  <si>
    <r>
      <t xml:space="preserve">     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Utilization Rate =</t>
    </r>
  </si>
  <si>
    <t xml:space="preserve">  7.  Recalculate Alkalinity Requirement</t>
  </si>
  <si>
    <t xml:space="preserve">        Alkalinity produced =</t>
  </si>
  <si>
    <t xml:space="preserve">  8.  Calculate Anoxic tank mixing power needed</t>
  </si>
  <si>
    <t xml:space="preserve">  Anoxic Tank Mixing Power =</t>
  </si>
  <si>
    <t xml:space="preserve">  9.  Calculate Sludge Wasting Rate</t>
  </si>
  <si>
    <t xml:space="preserve">  7.  Calculate Sludge Wasting Rate</t>
  </si>
  <si>
    <r>
      <t xml:space="preserve">   Q</t>
    </r>
    <r>
      <rPr>
        <b/>
        <vertAlign val="subscript"/>
        <sz val="12"/>
        <rFont val="Arial"/>
        <family val="2"/>
      </rPr>
      <t>w</t>
    </r>
    <r>
      <rPr>
        <sz val="12"/>
        <rFont val="Arial"/>
        <family val="2"/>
      </rPr>
      <t xml:space="preserve"> = </t>
    </r>
    <r>
      <rPr>
        <b/>
        <sz val="12"/>
        <rFont val="Arial"/>
        <family val="2"/>
      </rPr>
      <t>[(V</t>
    </r>
    <r>
      <rPr>
        <sz val="12"/>
        <rFont val="Arial"/>
        <family val="2"/>
      </rPr>
      <t>*</t>
    </r>
    <r>
      <rPr>
        <b/>
        <sz val="12"/>
        <rFont val="Arial"/>
        <family val="2"/>
      </rPr>
      <t>MLSS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>SRT*TSS_W)</t>
    </r>
  </si>
  <si>
    <t>Membrane Module Vol. per Tank =</t>
  </si>
  <si>
    <t>(Pre-Anoxic Tank Volume)</t>
  </si>
  <si>
    <t xml:space="preserve">  (based on detention time value in cell C14)</t>
  </si>
  <si>
    <t>Introduction to the MBR worksheets in this workbook:</t>
  </si>
  <si>
    <t>There is also a worksheet for user input of wastewater flow and characteristics</t>
  </si>
  <si>
    <t>and kinetic coefficients.  The default values shown for the kinetic coefficients</t>
  </si>
  <si>
    <t>are typical values.</t>
  </si>
  <si>
    <t>membrane module(s), the aeration tank(s), and preanoxic tank(s) for denitrification, based</t>
  </si>
  <si>
    <t>The membrane module calculations require user input values of membrane modue</t>
  </si>
  <si>
    <t xml:space="preserve">parameters that are typically available from the membrane module manufacturerer </t>
  </si>
  <si>
    <t>or vendor.</t>
  </si>
  <si>
    <r>
      <t xml:space="preserve">  </t>
    </r>
    <r>
      <rPr>
        <i/>
        <sz val="11"/>
        <rFont val="Calibri"/>
        <family val="2"/>
        <scheme val="minor"/>
      </rPr>
      <t xml:space="preserve">Wastewater Engineering, Treatment and Reuse, </t>
    </r>
    <r>
      <rPr>
        <sz val="11"/>
        <rFont val="Calibri"/>
        <family val="2"/>
        <scheme val="minor"/>
      </rPr>
      <t>4th Ed., New York, NY, 2003.</t>
    </r>
  </si>
  <si>
    <t>on the membrane module being immersed in the aeration tank.</t>
  </si>
  <si>
    <r>
      <t>A</t>
    </r>
    <r>
      <rPr>
        <b/>
        <vertAlign val="subscript"/>
        <sz val="12"/>
        <color theme="1"/>
        <rFont val="Arial"/>
        <family val="2"/>
      </rPr>
      <t>m</t>
    </r>
    <r>
      <rPr>
        <b/>
        <sz val="12"/>
        <color theme="1"/>
        <rFont val="Arial"/>
        <family val="2"/>
      </rPr>
      <t xml:space="preserve"> = Q</t>
    </r>
    <r>
      <rPr>
        <b/>
        <vertAlign val="sub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/J</t>
    </r>
  </si>
  <si>
    <r>
      <t>V</t>
    </r>
    <r>
      <rPr>
        <b/>
        <vertAlign val="subscript"/>
        <sz val="12"/>
        <color theme="1"/>
        <rFont val="Arial"/>
        <family val="2"/>
      </rPr>
      <t>m</t>
    </r>
    <r>
      <rPr>
        <b/>
        <sz val="12"/>
        <color theme="1"/>
        <rFont val="Arial"/>
        <family val="2"/>
      </rPr>
      <t xml:space="preserve"> = A</t>
    </r>
    <r>
      <rPr>
        <b/>
        <vertAlign val="subscript"/>
        <sz val="12"/>
        <color theme="1"/>
        <rFont val="Arial"/>
        <family val="2"/>
      </rPr>
      <t>m</t>
    </r>
    <r>
      <rPr>
        <b/>
        <sz val="12"/>
        <color theme="1"/>
        <rFont val="Arial"/>
        <family val="2"/>
      </rPr>
      <t>/</t>
    </r>
    <r>
      <rPr>
        <b/>
        <sz val="12"/>
        <color theme="1"/>
        <rFont val="Symbol"/>
        <family val="1"/>
        <charset val="2"/>
      </rPr>
      <t>f</t>
    </r>
  </si>
  <si>
    <r>
      <rPr>
        <b/>
        <sz val="11"/>
        <color theme="1"/>
        <rFont val="Arial"/>
        <family val="2"/>
      </rPr>
      <t xml:space="preserve">Scouring Air Flow required  </t>
    </r>
    <r>
      <rPr>
        <b/>
        <sz val="12"/>
        <color theme="1"/>
        <rFont val="Arial"/>
        <family val="2"/>
      </rPr>
      <t>=  A</t>
    </r>
    <r>
      <rPr>
        <b/>
        <vertAlign val="subscript"/>
        <sz val="12"/>
        <color theme="1"/>
        <rFont val="Arial"/>
        <family val="2"/>
      </rPr>
      <t>m</t>
    </r>
    <r>
      <rPr>
        <b/>
        <sz val="12"/>
        <color theme="1"/>
        <rFont val="Arial"/>
        <family val="2"/>
      </rPr>
      <t>*SAD</t>
    </r>
    <r>
      <rPr>
        <b/>
        <vertAlign val="subscript"/>
        <sz val="12"/>
        <color theme="1"/>
        <rFont val="Arial"/>
        <family val="2"/>
      </rPr>
      <t>M</t>
    </r>
  </si>
  <si>
    <t>go with the Aeration Tank(s) designed for BOD removal and Nitrification in Worksheet 4.</t>
  </si>
  <si>
    <t>This worksheet makes the design calculations for preanoxic denitrification basin(s) to</t>
  </si>
  <si>
    <t>Primary and secondary clarification are not typically used in an MBR wastewater</t>
  </si>
  <si>
    <t>treatment system.  Pretreatment of the raw wastewater must include fine screening</t>
  </si>
  <si>
    <t>and if necessary, based on wastewater characteristics, coarse screening and grit</t>
  </si>
  <si>
    <t>removal should be included.</t>
  </si>
  <si>
    <t>References for additional background information:</t>
  </si>
  <si>
    <t xml:space="preserve">1.   Metcalf &amp; Eddy, Inc, (Revised by Tchobanoglous, G, Burton, F.L., Stensel, H.D.), </t>
  </si>
  <si>
    <t>http://onlinembr.info/mbr-design/design-exercise-using-spread-sheet/</t>
  </si>
  <si>
    <t>2. Judd, Simon, "The MBR Book, Principles and Applications of Membrane Bioreactors</t>
  </si>
  <si>
    <t>in Water and Wastewater Treatment,"  2nd Ed,  Elesvier.</t>
  </si>
  <si>
    <t>3. Zaerpour, Masoud, "Design, Cost &amp; Benefit Analysis of a Membrane Bioreactor,"</t>
  </si>
  <si>
    <t>M.S. Thesis, Department of Environmental and Geomatic Engineering, Politecnico di</t>
  </si>
  <si>
    <t>Milan, Acacemic Year, 2013-2014.</t>
  </si>
  <si>
    <t>4.  Online MBR Information at:</t>
  </si>
  <si>
    <t>MBR Process Design Calculations - U.S. units</t>
  </si>
  <si>
    <t>MGD</t>
  </si>
  <si>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</t>
    </r>
  </si>
  <si>
    <t xml:space="preserve"> lb VSS/lb bCOD</t>
  </si>
  <si>
    <t xml:space="preserve">  lb VSS/d/lb VSS</t>
  </si>
  <si>
    <t xml:space="preserve"> lb VSS/lb NOx</t>
  </si>
  <si>
    <t xml:space="preserve">  lb VSS/d/lbVSS</t>
  </si>
  <si>
    <r>
      <t xml:space="preserve">  lb BOD</t>
    </r>
    <r>
      <rPr>
        <vertAlign val="subscript"/>
        <sz val="10"/>
        <rFont val="Arial"/>
        <family val="2"/>
      </rPr>
      <t>u</t>
    </r>
    <r>
      <rPr>
        <sz val="11"/>
        <color theme="1"/>
        <rFont val="Calibri"/>
        <family val="2"/>
        <scheme val="minor"/>
      </rPr>
      <t>/lb VSS</t>
    </r>
  </si>
  <si>
    <r>
      <t xml:space="preserve">  gal/hr/ft</t>
    </r>
    <r>
      <rPr>
        <vertAlign val="superscript"/>
        <sz val="11"/>
        <color theme="1"/>
        <rFont val="Calibri"/>
        <family val="2"/>
        <scheme val="minor"/>
      </rPr>
      <t>2</t>
    </r>
  </si>
  <si>
    <r>
      <t>ft</t>
    </r>
    <r>
      <rPr>
        <vertAlign val="superscript"/>
        <sz val="10"/>
        <rFont val="Arial"/>
        <family val="2"/>
      </rPr>
      <t>2</t>
    </r>
  </si>
  <si>
    <r>
      <t xml:space="preserve">  L/hr/m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 =</t>
    </r>
  </si>
  <si>
    <r>
      <t xml:space="preserve">             Spec. Aer. Demand,  </t>
    </r>
    <r>
      <rPr>
        <b/>
        <sz val="11"/>
        <color theme="1"/>
        <rFont val="Arial"/>
        <family val="2"/>
      </rPr>
      <t>SAD</t>
    </r>
    <r>
      <rPr>
        <b/>
        <vertAlign val="subscript"/>
        <sz val="11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 =</t>
    </r>
  </si>
  <si>
    <r>
      <t xml:space="preserve">  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    =</t>
    </r>
  </si>
  <si>
    <r>
      <t xml:space="preserve">   ft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/ft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 </t>
    </r>
  </si>
  <si>
    <r>
      <t>ft</t>
    </r>
    <r>
      <rPr>
        <vertAlign val="superscript"/>
        <sz val="10"/>
        <rFont val="Arial"/>
        <family val="2"/>
      </rPr>
      <t>3</t>
    </r>
  </si>
  <si>
    <r>
      <t xml:space="preserve">  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/min      (ACFM)        =</t>
    </r>
  </si>
  <si>
    <r>
      <t xml:space="preserve"> lb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/lb BOD</t>
    </r>
  </si>
  <si>
    <r>
      <t xml:space="preserve"> lb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/lb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</t>
    </r>
  </si>
  <si>
    <t xml:space="preserve"> % per ft depth</t>
  </si>
  <si>
    <t>in W.C.</t>
  </si>
  <si>
    <t>ft</t>
  </si>
  <si>
    <r>
      <t>o</t>
    </r>
    <r>
      <rPr>
        <sz val="10"/>
        <rFont val="Arial"/>
        <family val="2"/>
      </rPr>
      <t>F</t>
    </r>
  </si>
  <si>
    <t>psi</t>
  </si>
  <si>
    <t>lbm/SCF</t>
  </si>
  <si>
    <t>SCFM</t>
  </si>
  <si>
    <t xml:space="preserve"> lb VSS/d/lb VSS</t>
  </si>
  <si>
    <t xml:space="preserve"> mg bCOD/L</t>
  </si>
  <si>
    <t xml:space="preserve">  lb VSS/day</t>
  </si>
  <si>
    <t xml:space="preserve">  lb TSS/day</t>
  </si>
  <si>
    <t xml:space="preserve">  lb VSS</t>
  </si>
  <si>
    <t xml:space="preserve">  lb TSS</t>
  </si>
  <si>
    <t xml:space="preserve">  lb BOD/d/lb MLVSS</t>
  </si>
  <si>
    <r>
      <t xml:space="preserve">  lb BOD/d/1000 ft</t>
    </r>
    <r>
      <rPr>
        <vertAlign val="superscript"/>
        <sz val="10"/>
        <rFont val="Arial"/>
        <family val="2"/>
      </rPr>
      <t>3</t>
    </r>
  </si>
  <si>
    <t>lb/hr</t>
  </si>
  <si>
    <t>psia</t>
  </si>
  <si>
    <t>7.  For biological treatment with SRT from 5 to 10 days, lb oxygen required /lb BOD removed</t>
  </si>
  <si>
    <r>
      <t xml:space="preserve">      is typically in the range from 0.92 - 1.1 lb 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>/lb BOD.  Higher SRT results in a higher value</t>
    </r>
  </si>
  <si>
    <r>
      <t xml:space="preserve">      of lb O</t>
    </r>
    <r>
      <rPr>
        <vertAlign val="subscript"/>
        <sz val="10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required/lb BOD removed.</t>
    </r>
  </si>
  <si>
    <t>8.  The oxidation of 1 lb of ammonia nitrogen typically requires 4.1 to 4.6 lb of oxygen.</t>
  </si>
  <si>
    <r>
      <t xml:space="preserve"> lb/day as CaCO</t>
    </r>
    <r>
      <rPr>
        <vertAlign val="subscript"/>
        <sz val="10"/>
        <rFont val="Arial"/>
        <family val="2"/>
      </rPr>
      <t>3</t>
    </r>
  </si>
  <si>
    <r>
      <t xml:space="preserve"> lb/day  NaHCO</t>
    </r>
    <r>
      <rPr>
        <vertAlign val="subscript"/>
        <sz val="10"/>
        <rFont val="Arial"/>
        <family val="2"/>
      </rPr>
      <t>3</t>
    </r>
  </si>
  <si>
    <r>
      <t xml:space="preserve">  hp/10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ft</t>
    </r>
    <r>
      <rPr>
        <vertAlign val="superscript"/>
        <sz val="10"/>
        <rFont val="Arial"/>
        <family val="2"/>
      </rPr>
      <t>3</t>
    </r>
  </si>
  <si>
    <t>lb/day</t>
  </si>
  <si>
    <r>
      <t xml:space="preserve">  lb NO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-N/day/lb biomass   (at 20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C)</t>
    </r>
  </si>
  <si>
    <r>
      <t xml:space="preserve">  lb NO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-N/day/lb biomass   (at T</t>
    </r>
    <r>
      <rPr>
        <vertAlign val="subscript"/>
        <sz val="10"/>
        <color indexed="8"/>
        <rFont val="Arial"/>
        <family val="2"/>
      </rPr>
      <t>ww</t>
    </r>
    <r>
      <rPr>
        <sz val="10"/>
        <color indexed="8"/>
        <rFont val="Arial"/>
        <family val="2"/>
      </rPr>
      <t>)</t>
    </r>
  </si>
  <si>
    <r>
      <t>ft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</si>
  <si>
    <r>
      <t>ft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</si>
  <si>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     lb/day    =</t>
  </si>
  <si>
    <t>hp</t>
  </si>
  <si>
    <t>gal/day</t>
  </si>
  <si>
    <r>
      <t xml:space="preserve">     Influent Alkalinity, </t>
    </r>
    <r>
      <rPr>
        <b/>
        <sz val="12"/>
        <rFont val="Arial"/>
        <family val="2"/>
      </rPr>
      <t>Alk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</si>
  <si>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r>
      <t>S = K</t>
    </r>
    <r>
      <rPr>
        <b/>
        <vertAlign val="subscript"/>
        <sz val="12"/>
        <rFont val="Arial"/>
        <family val="2"/>
      </rPr>
      <t>s</t>
    </r>
    <r>
      <rPr>
        <b/>
        <sz val="12"/>
        <rFont val="Arial"/>
        <family val="2"/>
      </rPr>
      <t>[1 + (k</t>
    </r>
    <r>
      <rPr>
        <b/>
        <vertAlign val="subscript"/>
        <sz val="12"/>
        <rFont val="Arial"/>
        <family val="2"/>
      </rPr>
      <t>d</t>
    </r>
    <r>
      <rPr>
        <b/>
        <sz val="12"/>
        <rFont val="Arial"/>
        <family val="2"/>
      </rPr>
      <t>)SRT]/[SRT(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 xml:space="preserve"> - k</t>
    </r>
    <r>
      <rPr>
        <b/>
        <vertAlign val="subscript"/>
        <sz val="12"/>
        <rFont val="Arial"/>
        <family val="2"/>
      </rPr>
      <t>d</t>
    </r>
    <r>
      <rPr>
        <b/>
        <sz val="12"/>
        <rFont val="Arial"/>
        <family val="2"/>
      </rPr>
      <t>) - 1]</t>
    </r>
  </si>
  <si>
    <r>
      <t>m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 xml:space="preserve"> at T</t>
    </r>
    <r>
      <rPr>
        <b/>
        <vertAlign val="subscript"/>
        <sz val="12"/>
        <rFont val="Arial"/>
        <family val="2"/>
      </rPr>
      <t>ww</t>
    </r>
    <r>
      <rPr>
        <b/>
        <sz val="12"/>
        <rFont val="Arial"/>
        <family val="2"/>
      </rPr>
      <t xml:space="preserve"> =  </t>
    </r>
    <r>
      <rPr>
        <b/>
        <sz val="12"/>
        <rFont val="Symbol"/>
        <family val="1"/>
        <charset val="2"/>
      </rPr>
      <t>m</t>
    </r>
    <r>
      <rPr>
        <b/>
        <vertAlign val="subscript"/>
        <sz val="12"/>
        <rFont val="Arial"/>
        <family val="2"/>
      </rPr>
      <t>m,20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q</t>
    </r>
    <r>
      <rPr>
        <b/>
        <vertAlign val="superscript"/>
        <sz val="12"/>
        <rFont val="Arial"/>
        <family val="2"/>
      </rPr>
      <t>Tww - 20</t>
    </r>
  </si>
  <si>
    <r>
      <t>k</t>
    </r>
    <r>
      <rPr>
        <b/>
        <vertAlign val="subscript"/>
        <sz val="12"/>
        <rFont val="Arial"/>
        <family val="2"/>
      </rPr>
      <t>d</t>
    </r>
    <r>
      <rPr>
        <b/>
        <sz val="12"/>
        <rFont val="Arial"/>
        <family val="2"/>
      </rPr>
      <t xml:space="preserve"> at T</t>
    </r>
    <r>
      <rPr>
        <b/>
        <vertAlign val="subscript"/>
        <sz val="12"/>
        <rFont val="Arial"/>
        <family val="2"/>
      </rPr>
      <t>ww</t>
    </r>
    <r>
      <rPr>
        <b/>
        <sz val="12"/>
        <rFont val="Arial"/>
        <family val="2"/>
      </rPr>
      <t xml:space="preserve"> = 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d,20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q</t>
    </r>
    <r>
      <rPr>
        <b/>
        <vertAlign val="superscript"/>
        <sz val="12"/>
        <rFont val="Arial"/>
        <family val="2"/>
      </rPr>
      <t>Tww - 20</t>
    </r>
  </si>
  <si>
    <t>bpCOD/pCOD = (BODo - sBODo)/(CODo - sCODo)</t>
  </si>
  <si>
    <t>nbVSS = [1 - (bpCOD/pCOD)VSSo]</t>
  </si>
  <si>
    <t>1.  The typical AOR/SOR  (or AOTE/SOTE) is 0.50 for a coarse bubble aeration system.</t>
  </si>
  <si>
    <t>2.  The typical AOR/SOR  (or AOTE/SOTE) is 0.33 for a fine bubble aeartion system.</t>
  </si>
  <si>
    <t>BOD Removal Rate =</t>
  </si>
  <si>
    <r>
      <t xml:space="preserve">  NH</t>
    </r>
    <r>
      <rPr>
        <vertAlign val="sub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>-N Removal Rate =</t>
    </r>
  </si>
  <si>
    <t>Input:</t>
  </si>
  <si>
    <t>Target Effluent Alkalinity =</t>
  </si>
  <si>
    <t>Constants needed for Calculations:</t>
  </si>
  <si>
    <r>
      <t xml:space="preserve">     Equiv Wt. of CaCO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=</t>
    </r>
  </si>
  <si>
    <t>g/equiv.</t>
  </si>
  <si>
    <r>
      <t xml:space="preserve">     Equiv Wt. of NaHCO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=</t>
    </r>
  </si>
  <si>
    <t xml:space="preserve">       Alkalinity used for Nitrification =</t>
  </si>
  <si>
    <r>
      <t xml:space="preserve">  g CaCO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/g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</t>
    </r>
  </si>
  <si>
    <t>Calculations</t>
  </si>
  <si>
    <r>
      <t>F/M  =  QS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>/V*MLVSS</t>
    </r>
  </si>
  <si>
    <r>
      <t xml:space="preserve">Equations used for Oxygen/Air/Blower calculations:  </t>
    </r>
    <r>
      <rPr>
        <sz val="11"/>
        <rFont val="Arial"/>
        <family val="2"/>
      </rPr>
      <t>(note that conversion factors are needed in some of the equations)</t>
    </r>
  </si>
  <si>
    <r>
      <t xml:space="preserve">   P</t>
    </r>
    <r>
      <rPr>
        <b/>
        <vertAlign val="subscript"/>
        <sz val="11"/>
        <rFont val="Arial"/>
        <family val="2"/>
      </rPr>
      <t>D</t>
    </r>
    <r>
      <rPr>
        <b/>
        <sz val="11"/>
        <rFont val="Arial"/>
        <family val="2"/>
      </rPr>
      <t xml:space="preserve"> =  P</t>
    </r>
    <r>
      <rPr>
        <b/>
        <vertAlign val="subscript"/>
        <sz val="11"/>
        <rFont val="Arial"/>
        <family val="2"/>
      </rPr>
      <t>atm</t>
    </r>
    <r>
      <rPr>
        <b/>
        <sz val="11"/>
        <rFont val="Arial"/>
        <family val="2"/>
      </rPr>
      <t xml:space="preserve"> + </t>
    </r>
    <r>
      <rPr>
        <b/>
        <sz val="11"/>
        <rFont val="Symbol"/>
        <family val="1"/>
        <charset val="2"/>
      </rPr>
      <t>g</t>
    </r>
    <r>
      <rPr>
        <b/>
        <sz val="11"/>
        <rFont val="Arial"/>
        <family val="2"/>
      </rPr>
      <t>(Diffuser Depth/2)</t>
    </r>
  </si>
  <si>
    <t>BOD Removal Rate = (Qo*(BODo- BODe)</t>
  </si>
  <si>
    <r>
      <t>NH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-N Removal Rate = (Qo*(NH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-No- NH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-Ne)</t>
    </r>
  </si>
  <si>
    <t>SOTE = (SOTE %/m depth)(Diffuser Depth)</t>
  </si>
  <si>
    <t>AOTE = SOTE(AOTE/SOTE)</t>
  </si>
  <si>
    <r>
      <t>Air Requirement = (O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requirement/AOTE)/(O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Content in Air)</t>
    </r>
  </si>
  <si>
    <r>
      <t>Blower Outlet Pressure = P</t>
    </r>
    <r>
      <rPr>
        <b/>
        <vertAlign val="subscript"/>
        <sz val="11"/>
        <color theme="1"/>
        <rFont val="Arial"/>
        <family val="2"/>
      </rPr>
      <t>atm</t>
    </r>
    <r>
      <rPr>
        <b/>
        <sz val="11"/>
        <color theme="1"/>
        <rFont val="Arial"/>
        <family val="2"/>
      </rPr>
      <t xml:space="preserve"> + Press. Drop across Diffuser + </t>
    </r>
    <r>
      <rPr>
        <b/>
        <sz val="11"/>
        <color theme="1"/>
        <rFont val="Symbol"/>
        <family val="1"/>
        <charset val="2"/>
      </rPr>
      <t>g</t>
    </r>
    <r>
      <rPr>
        <b/>
        <sz val="11"/>
        <color theme="1"/>
        <rFont val="Arial"/>
        <family val="2"/>
      </rPr>
      <t>(Diffuser Depth)</t>
    </r>
  </si>
  <si>
    <r>
      <t xml:space="preserve">Equations used for Alkalinity Requirement calculations:  </t>
    </r>
    <r>
      <rPr>
        <sz val="11"/>
        <rFont val="Arial"/>
        <family val="2"/>
      </rPr>
      <t>(note that conversion factors are needed in some of the equations)</t>
    </r>
  </si>
  <si>
    <t>Alkalinity used for Nitrification = 7.14(NOx)</t>
  </si>
  <si>
    <r>
      <t>(mg/L as CaCO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</si>
  <si>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Alk. Conc. needed = Alk. used for Nitrification + Target Effl. Alk. - Alk</t>
    </r>
    <r>
      <rPr>
        <b/>
        <vertAlign val="subscript"/>
        <sz val="11"/>
        <color theme="1"/>
        <rFont val="Arial"/>
        <family val="2"/>
      </rPr>
      <t>o</t>
    </r>
  </si>
  <si>
    <r>
      <t xml:space="preserve">     (mg/L as CaCO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</si>
  <si>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r>
      <t>Sodium Bicarbonate Flow needed = (Alk. Flow needed)(Equiv Wt. of NaHCO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)/(Equiv. Wt. of CaCO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</si>
  <si>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Alk. Flow needed = Q</t>
    </r>
    <r>
      <rPr>
        <b/>
        <vertAlign val="subscript"/>
        <sz val="11"/>
        <color theme="1"/>
        <rFont val="Arial"/>
        <family val="2"/>
      </rPr>
      <t>o</t>
    </r>
    <r>
      <rPr>
        <b/>
        <sz val="11"/>
        <color theme="1"/>
        <rFont val="Arial"/>
        <family val="2"/>
      </rPr>
      <t xml:space="preserve"> (Alk. Conc. needed)*8.34</t>
    </r>
  </si>
  <si>
    <t xml:space="preserve">   (lb/day)</t>
  </si>
  <si>
    <r>
      <t>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Requirement = (BOD Rem Rate)(lb 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/lb BOD) = (NH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-N Rem. Rate)(lb O2/lb NH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-N)</t>
    </r>
  </si>
  <si>
    <t xml:space="preserve">   NOTE:  An initial estimate is needed for NOx in cell C14 to start an iterative calculation</t>
  </si>
  <si>
    <t>The aeration tank and preanoxic tank calculations are based on the procedures</t>
  </si>
  <si>
    <t>described for design of a completely mixed activated sludge system and for</t>
  </si>
  <si>
    <t>design of an MBR system in the reference below.</t>
  </si>
  <si>
    <r>
      <t xml:space="preserve">Metcalf &amp; Eddy, </t>
    </r>
    <r>
      <rPr>
        <i/>
        <sz val="11"/>
        <color theme="1"/>
        <rFont val="Calibri"/>
        <family val="2"/>
        <scheme val="minor"/>
      </rPr>
      <t>Wastewater Engineering Treatment and Recovery,</t>
    </r>
  </si>
  <si>
    <t>5th Ed, New York, NY, 2014</t>
  </si>
  <si>
    <t>.</t>
  </si>
  <si>
    <r>
      <t xml:space="preserve">         Half Veloc. Coeff. At 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2"/>
        <rFont val="Arial"/>
        <family val="2"/>
      </rPr>
      <t>K</t>
    </r>
    <r>
      <rPr>
        <b/>
        <vertAlign val="subscript"/>
        <sz val="12"/>
        <rFont val="Arial"/>
        <family val="2"/>
      </rPr>
      <t>so</t>
    </r>
    <r>
      <rPr>
        <sz val="10"/>
        <rFont val="Arial"/>
        <family val="2"/>
      </rPr>
      <t xml:space="preserve"> =</t>
    </r>
  </si>
  <si>
    <t>Derivation of Equation for Design Membrane Flux vs WW Temperature:</t>
  </si>
  <si>
    <t>Temperature</t>
  </si>
  <si>
    <t>Membrane Flux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</si>
  <si>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F</t>
    </r>
  </si>
  <si>
    <r>
      <t>L/m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/h</t>
    </r>
  </si>
  <si>
    <t xml:space="preserve">   The source for the Membrane Flux vs </t>
  </si>
  <si>
    <t xml:space="preserve">   Temperature data was:</t>
  </si>
  <si>
    <t xml:space="preserve">  Metcalf &amp; Eddy, Wastewater Engineering </t>
  </si>
  <si>
    <t xml:space="preserve">  Treatment and Resouce Recover, 5th Ed, 2014</t>
  </si>
  <si>
    <t xml:space="preserve">  Figure 8-57</t>
  </si>
  <si>
    <t xml:space="preserve">   (see equation derivation in Worksheet 9)</t>
  </si>
  <si>
    <r>
      <t xml:space="preserve">Design Membrane Flux:    </t>
    </r>
    <r>
      <rPr>
        <b/>
        <sz val="11"/>
        <color theme="1"/>
        <rFont val="Arial"/>
        <family val="2"/>
      </rPr>
      <t>J = 0.4056T</t>
    </r>
    <r>
      <rPr>
        <b/>
        <vertAlign val="subscript"/>
        <sz val="11"/>
        <color theme="1"/>
        <rFont val="Arial"/>
        <family val="2"/>
      </rPr>
      <t>ww</t>
    </r>
    <r>
      <rPr>
        <b/>
        <sz val="11"/>
        <color theme="1"/>
        <rFont val="Arial"/>
        <family val="2"/>
      </rPr>
      <t xml:space="preserve">  -  5.7278</t>
    </r>
  </si>
  <si>
    <r>
      <t xml:space="preserve">               (ft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air/hr/ft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membrane)</t>
    </r>
  </si>
  <si>
    <r>
      <t xml:space="preserve"> 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air/hr/m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membrane   =</t>
    </r>
  </si>
  <si>
    <t xml:space="preserve">    Nitrate conc. in RAS  =</t>
  </si>
  <si>
    <t xml:space="preserve">  1.  Calculate RAS ratio and Anoxic Tank Active Biomass Concentration</t>
  </si>
  <si>
    <r>
      <t xml:space="preserve">          RAS ratio,  </t>
    </r>
    <r>
      <rPr>
        <b/>
        <sz val="11"/>
        <rFont val="Arial"/>
        <family val="2"/>
      </rPr>
      <t>RAS</t>
    </r>
    <r>
      <rPr>
        <sz val="10"/>
        <rFont val="Arial"/>
        <family val="2"/>
      </rPr>
      <t xml:space="preserve"> =</t>
    </r>
  </si>
  <si>
    <r>
      <t xml:space="preserve"> Aer. Tank Active biomass,  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Xb</t>
    </r>
    <r>
      <rPr>
        <sz val="10"/>
        <rFont val="Arial"/>
        <family val="2"/>
      </rPr>
      <t xml:space="preserve"> =</t>
    </r>
  </si>
  <si>
    <t>Aeration tank active</t>
  </si>
  <si>
    <r>
      <t>Anox. Tank MLSS,</t>
    </r>
    <r>
      <rPr>
        <b/>
        <sz val="11"/>
        <color theme="1"/>
        <rFont val="Arial"/>
        <family val="2"/>
      </rPr>
      <t xml:space="preserve"> MLSS</t>
    </r>
    <r>
      <rPr>
        <b/>
        <vertAlign val="subscript"/>
        <sz val="11"/>
        <color theme="1"/>
        <rFont val="Arial"/>
        <family val="2"/>
      </rPr>
      <t>AN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</si>
  <si>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       biomass Fraction,  </t>
    </r>
    <r>
      <rPr>
        <b/>
        <sz val="11"/>
        <rFont val="Arial"/>
        <family val="2"/>
      </rPr>
      <t>X</t>
    </r>
    <r>
      <rPr>
        <b/>
        <vertAlign val="subscript"/>
        <sz val="11"/>
        <rFont val="Arial"/>
        <family val="2"/>
      </rPr>
      <t>aer,b</t>
    </r>
    <r>
      <rPr>
        <sz val="10"/>
        <rFont val="Arial"/>
        <family val="2"/>
      </rPr>
      <t xml:space="preserve"> =</t>
    </r>
  </si>
  <si>
    <t>Anoxic tank active</t>
  </si>
  <si>
    <r>
      <t xml:space="preserve">       biomass Conc.,  </t>
    </r>
    <r>
      <rPr>
        <b/>
        <sz val="11"/>
        <rFont val="Arial"/>
        <family val="2"/>
      </rPr>
      <t>X</t>
    </r>
    <r>
      <rPr>
        <b/>
        <vertAlign val="subscript"/>
        <sz val="11"/>
        <rFont val="Arial"/>
        <family val="2"/>
      </rPr>
      <t>an,b</t>
    </r>
    <r>
      <rPr>
        <sz val="10"/>
        <rFont val="Arial"/>
        <family val="2"/>
      </rPr>
      <t xml:space="preserve"> =</t>
    </r>
  </si>
  <si>
    <t>lb/d</t>
  </si>
  <si>
    <t>values as follows:  Place the cursor on cell H58 and click on "goal seek" (in the "tools" menu of</t>
  </si>
  <si>
    <t>"Set cell" H58 "To value:" 0, "By changing cell:" C14, and click on "OK".  The calculated values</t>
  </si>
  <si>
    <r>
      <t>of V</t>
    </r>
    <r>
      <rPr>
        <b/>
        <vertAlign val="subscript"/>
        <sz val="11"/>
        <color indexed="12"/>
        <rFont val="Arial"/>
        <family val="2"/>
      </rPr>
      <t>an</t>
    </r>
    <r>
      <rPr>
        <b/>
        <sz val="11"/>
        <color indexed="12"/>
        <rFont val="Arial"/>
        <family val="2"/>
      </rPr>
      <t xml:space="preserve"> and t</t>
    </r>
    <r>
      <rPr>
        <b/>
        <vertAlign val="subscript"/>
        <sz val="11"/>
        <color indexed="12"/>
        <rFont val="Arial"/>
        <family val="2"/>
      </rPr>
      <t>an</t>
    </r>
    <r>
      <rPr>
        <b/>
        <sz val="11"/>
        <color indexed="12"/>
        <rFont val="Arial"/>
        <family val="2"/>
      </rPr>
      <t xml:space="preserve"> will be in cells C60 and H60.  Cell H58 should be zero if the process worked properly.</t>
    </r>
  </si>
  <si>
    <r>
      <t xml:space="preserve">       Req'd air flow rate</t>
    </r>
    <r>
      <rPr>
        <sz val="11"/>
        <color theme="1"/>
        <rFont val="Calibri"/>
        <family val="2"/>
        <scheme val="minor"/>
      </rPr>
      <t>, SCFM =</t>
    </r>
  </si>
  <si>
    <r>
      <t xml:space="preserve">RAS Ratio:  </t>
    </r>
    <r>
      <rPr>
        <b/>
        <sz val="12"/>
        <rFont val="Arial"/>
        <family val="2"/>
      </rPr>
      <t xml:space="preserve"> RAS  =  (NO</t>
    </r>
    <r>
      <rPr>
        <b/>
        <vertAlign val="subscript"/>
        <sz val="12"/>
        <rFont val="Arial"/>
        <family val="2"/>
      </rPr>
      <t>x</t>
    </r>
    <r>
      <rPr>
        <b/>
        <sz val="12"/>
        <rFont val="Arial"/>
        <family val="2"/>
      </rPr>
      <t>/N</t>
    </r>
    <r>
      <rPr>
        <b/>
        <vertAlign val="subscript"/>
        <sz val="12"/>
        <rFont val="Arial"/>
        <family val="2"/>
      </rPr>
      <t>e</t>
    </r>
    <r>
      <rPr>
        <b/>
        <sz val="12"/>
        <rFont val="Arial"/>
        <family val="2"/>
      </rPr>
      <t>)  -  1.0</t>
    </r>
  </si>
  <si>
    <r>
      <t xml:space="preserve">Recycle `Flow rate to anoxic tank:    </t>
    </r>
    <r>
      <rPr>
        <b/>
        <sz val="12"/>
        <rFont val="Arial"/>
        <family val="2"/>
      </rPr>
      <t>Q</t>
    </r>
    <r>
      <rPr>
        <b/>
        <vertAlign val="subscript"/>
        <sz val="12"/>
        <rFont val="Arial"/>
        <family val="2"/>
      </rPr>
      <t>anox</t>
    </r>
    <r>
      <rPr>
        <b/>
        <sz val="12"/>
        <rFont val="Arial"/>
        <family val="2"/>
      </rPr>
      <t xml:space="preserve"> = RAS(Q) </t>
    </r>
  </si>
  <si>
    <t>Four worksheets are provided to carry out basin sizing and aeration calculations for the</t>
  </si>
  <si>
    <r>
      <rPr>
        <b/>
        <sz val="12"/>
        <rFont val="Arial"/>
        <family val="2"/>
      </rPr>
      <t>Tab 4.</t>
    </r>
    <r>
      <rPr>
        <sz val="12"/>
        <rFont val="Arial"/>
        <family val="2"/>
      </rPr>
      <t xml:space="preserve"> BOD Removal and Nitrification</t>
    </r>
  </si>
  <si>
    <r>
      <t xml:space="preserve">Tab 5. </t>
    </r>
    <r>
      <rPr>
        <sz val="12"/>
        <rFont val="Arial"/>
        <family val="2"/>
      </rPr>
      <t>Denitrification</t>
    </r>
  </si>
  <si>
    <t>(Qo*Y*(bCODo-S)*(1/1000)/(1+(kdatTww*SRT)))</t>
  </si>
  <si>
    <r>
      <t xml:space="preserve">Anoxic Tank MLSS, </t>
    </r>
    <r>
      <rPr>
        <b/>
        <sz val="11"/>
        <color theme="1"/>
        <rFont val="Arial"/>
        <family val="2"/>
      </rPr>
      <t>MLSS</t>
    </r>
    <r>
      <rPr>
        <b/>
        <vertAlign val="subscript"/>
        <sz val="11"/>
        <color theme="1"/>
        <rFont val="Arial"/>
        <family val="2"/>
      </rPr>
      <t>AN</t>
    </r>
    <r>
      <rPr>
        <b/>
        <sz val="11"/>
        <color theme="1"/>
        <rFont val="Arial"/>
        <family val="2"/>
      </rPr>
      <t xml:space="preserve"> =  [RAS/(RAS +1)]*TSS_W</t>
    </r>
  </si>
  <si>
    <r>
      <t xml:space="preserve">Aer. Tank Active biomass fraction:  </t>
    </r>
    <r>
      <rPr>
        <b/>
        <sz val="12"/>
        <rFont val="Arial"/>
        <family val="2"/>
      </rPr>
      <t xml:space="preserve"> X</t>
    </r>
    <r>
      <rPr>
        <b/>
        <vertAlign val="subscript"/>
        <sz val="12"/>
        <rFont val="Arial"/>
        <family val="2"/>
      </rPr>
      <t>aer,b</t>
    </r>
    <r>
      <rPr>
        <b/>
        <sz val="12"/>
        <rFont val="Arial"/>
        <family val="2"/>
      </rPr>
      <t xml:space="preserve"> =  P</t>
    </r>
    <r>
      <rPr>
        <b/>
        <vertAlign val="subscript"/>
        <sz val="12"/>
        <rFont val="Arial"/>
        <family val="2"/>
      </rPr>
      <t>Xb</t>
    </r>
    <r>
      <rPr>
        <b/>
        <sz val="12"/>
        <rFont val="Arial"/>
        <family val="2"/>
      </rPr>
      <t>/P</t>
    </r>
    <r>
      <rPr>
        <b/>
        <vertAlign val="subscript"/>
        <sz val="12"/>
        <rFont val="Arial"/>
        <family val="2"/>
      </rPr>
      <t>x,TSS</t>
    </r>
    <r>
      <rPr>
        <b/>
        <sz val="12"/>
        <rFont val="Arial"/>
        <family val="2"/>
      </rPr>
      <t xml:space="preserve"> </t>
    </r>
  </si>
  <si>
    <r>
      <t xml:space="preserve">Anoxic Tank Active biomass fraction:  </t>
    </r>
    <r>
      <rPr>
        <b/>
        <sz val="12"/>
        <rFont val="Arial"/>
        <family val="2"/>
      </rPr>
      <t xml:space="preserve"> X</t>
    </r>
    <r>
      <rPr>
        <b/>
        <vertAlign val="subscript"/>
        <sz val="12"/>
        <rFont val="Arial"/>
        <family val="2"/>
      </rPr>
      <t>an,b</t>
    </r>
    <r>
      <rPr>
        <b/>
        <sz val="12"/>
        <rFont val="Arial"/>
        <family val="2"/>
      </rPr>
      <t xml:space="preserve"> =  MLSS</t>
    </r>
    <r>
      <rPr>
        <b/>
        <vertAlign val="subscript"/>
        <sz val="12"/>
        <rFont val="Arial"/>
        <family val="2"/>
      </rPr>
      <t>AN</t>
    </r>
    <r>
      <rPr>
        <b/>
        <sz val="12"/>
        <rFont val="Arial"/>
        <family val="2"/>
      </rPr>
      <t>/X</t>
    </r>
    <r>
      <rPr>
        <b/>
        <vertAlign val="subscript"/>
        <sz val="12"/>
        <rFont val="Arial"/>
        <family val="2"/>
      </rPr>
      <t>aer,b</t>
    </r>
    <r>
      <rPr>
        <b/>
        <sz val="12"/>
        <rFont val="Arial"/>
        <family val="2"/>
      </rPr>
      <t xml:space="preserve"> </t>
    </r>
  </si>
  <si>
    <t xml:space="preserve">        (RAS flow containing nitrate)</t>
  </si>
  <si>
    <t>bo</t>
  </si>
  <si>
    <t>b1</t>
  </si>
  <si>
    <r>
      <t xml:space="preserve">   Q</t>
    </r>
    <r>
      <rPr>
        <b/>
        <vertAlign val="subscript"/>
        <sz val="12"/>
        <rFont val="Arial"/>
        <family val="2"/>
      </rPr>
      <t>w</t>
    </r>
    <r>
      <rPr>
        <sz val="12"/>
        <rFont val="Arial"/>
        <family val="2"/>
      </rPr>
      <t xml:space="preserve"> = </t>
    </r>
    <r>
      <rPr>
        <b/>
        <sz val="12"/>
        <rFont val="Arial"/>
        <family val="2"/>
      </rPr>
      <t>[((V</t>
    </r>
    <r>
      <rPr>
        <b/>
        <vertAlign val="subscript"/>
        <sz val="12"/>
        <rFont val="Arial"/>
        <family val="2"/>
      </rPr>
      <t>aer</t>
    </r>
    <r>
      <rPr>
        <sz val="12"/>
        <rFont val="Arial"/>
        <family val="2"/>
      </rPr>
      <t>*</t>
    </r>
    <r>
      <rPr>
        <b/>
        <sz val="12"/>
        <rFont val="Arial"/>
        <family val="2"/>
      </rPr>
      <t>MLSS + V</t>
    </r>
    <r>
      <rPr>
        <b/>
        <vertAlign val="subscript"/>
        <sz val="12"/>
        <rFont val="Arial"/>
        <family val="2"/>
      </rPr>
      <t>anox</t>
    </r>
    <r>
      <rPr>
        <b/>
        <sz val="12"/>
        <rFont val="Arial"/>
        <family val="2"/>
      </rPr>
      <t>*X</t>
    </r>
    <r>
      <rPr>
        <b/>
        <vertAlign val="subscript"/>
        <sz val="12"/>
        <rFont val="Arial"/>
        <family val="2"/>
      </rPr>
      <t>b</t>
    </r>
    <r>
      <rPr>
        <sz val="12"/>
        <rFont val="Arial"/>
        <family val="2"/>
      </rPr>
      <t>)/</t>
    </r>
    <r>
      <rPr>
        <b/>
        <sz val="12"/>
        <rFont val="Arial"/>
        <family val="2"/>
      </rPr>
      <t>SRT)]/(TSSw)</t>
    </r>
  </si>
  <si>
    <r>
      <t xml:space="preserve">Tab 6. </t>
    </r>
    <r>
      <rPr>
        <sz val="12"/>
        <rFont val="Arial"/>
        <family val="2"/>
      </rPr>
      <t>Equation for Membrane Flux vs Temperature</t>
    </r>
  </si>
  <si>
    <t>Sludge Wasting Rate:</t>
  </si>
  <si>
    <t>Equations for SDNR as a function of rbCOD/bCOD and F/M</t>
  </si>
  <si>
    <r>
      <t xml:space="preserve">For F/M &lt; 0.5,  </t>
    </r>
    <r>
      <rPr>
        <b/>
        <sz val="11"/>
        <color rgb="FF000000"/>
        <rFont val="Arial"/>
        <family val="2"/>
      </rPr>
      <t xml:space="preserve"> SDNR = 0.24*F/M </t>
    </r>
    <r>
      <rPr>
        <sz val="11"/>
        <color indexed="8"/>
        <rFont val="Arial"/>
        <family val="2"/>
      </rPr>
      <t xml:space="preserve">    (at 20</t>
    </r>
    <r>
      <rPr>
        <vertAlign val="superscript"/>
        <sz val="11"/>
        <color rgb="FF000000"/>
        <rFont val="Arial"/>
        <family val="2"/>
      </rPr>
      <t>o</t>
    </r>
    <r>
      <rPr>
        <sz val="11"/>
        <color indexed="8"/>
        <rFont val="Arial"/>
        <family val="2"/>
      </rPr>
      <t>C)</t>
    </r>
  </si>
  <si>
    <r>
      <t xml:space="preserve">For F/M  </t>
    </r>
    <r>
      <rPr>
        <u/>
        <sz val="11"/>
        <color rgb="FF000000"/>
        <rFont val="Arial"/>
        <family val="2"/>
      </rPr>
      <t>&gt;</t>
    </r>
    <r>
      <rPr>
        <sz val="11"/>
        <color indexed="8"/>
        <rFont val="Arial"/>
        <family val="2"/>
      </rPr>
      <t xml:space="preserve">  0.5,  </t>
    </r>
    <r>
      <rPr>
        <b/>
        <sz val="11"/>
        <color rgb="FF000000"/>
        <rFont val="Arial"/>
        <family val="2"/>
      </rPr>
      <t>SDNR = b</t>
    </r>
    <r>
      <rPr>
        <b/>
        <vertAlign val="subscript"/>
        <sz val="11"/>
        <color rgb="FF000000"/>
        <rFont val="Arial"/>
        <family val="2"/>
      </rPr>
      <t>o</t>
    </r>
    <r>
      <rPr>
        <b/>
        <sz val="11"/>
        <color rgb="FF000000"/>
        <rFont val="Arial"/>
        <family val="2"/>
      </rPr>
      <t xml:space="preserve"> + b</t>
    </r>
    <r>
      <rPr>
        <b/>
        <vertAlign val="subscript"/>
        <sz val="11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 xml:space="preserve">[ ln(F/M) ] </t>
    </r>
    <r>
      <rPr>
        <sz val="11"/>
        <color indexed="8"/>
        <rFont val="Arial"/>
        <family val="2"/>
      </rPr>
      <t xml:space="preserve">     (at 20</t>
    </r>
    <r>
      <rPr>
        <vertAlign val="superscript"/>
        <sz val="11"/>
        <color rgb="FF000000"/>
        <rFont val="Arial"/>
        <family val="2"/>
      </rPr>
      <t>o</t>
    </r>
    <r>
      <rPr>
        <sz val="11"/>
        <color indexed="8"/>
        <rFont val="Arial"/>
        <family val="2"/>
      </rPr>
      <t>C)</t>
    </r>
  </si>
  <si>
    <r>
      <t xml:space="preserve">  </t>
    </r>
    <r>
      <rPr>
        <i/>
        <sz val="10"/>
        <rFont val="Arial"/>
        <family val="2"/>
      </rPr>
      <t xml:space="preserve">Wastewater Engineering, Treatment and Resource Recovery, </t>
    </r>
    <r>
      <rPr>
        <sz val="10"/>
        <rFont val="Arial"/>
        <family val="2"/>
      </rPr>
      <t>5th Ed., New York, NY, 2014.</t>
    </r>
  </si>
  <si>
    <t xml:space="preserve">NOTE:  These equations are from: </t>
  </si>
  <si>
    <t xml:space="preserve"> Metcalf &amp; Eddy/Aecom, (Revised by Tchobanoglous, G, Burton, F.L., Stensel, H.D.), </t>
  </si>
  <si>
    <t xml:space="preserve">Temperature Correction:  </t>
  </si>
  <si>
    <r>
      <t xml:space="preserve">  SDNR at Tww = (SDNR at 20oC)(1.026</t>
    </r>
    <r>
      <rPr>
        <b/>
        <vertAlign val="superscript"/>
        <sz val="11"/>
        <color theme="1"/>
        <rFont val="Arial"/>
        <family val="2"/>
      </rPr>
      <t>Tww - 20</t>
    </r>
    <r>
      <rPr>
        <b/>
        <sz val="11"/>
        <color theme="1"/>
        <rFont val="Arial"/>
        <family val="2"/>
      </rPr>
      <t>)</t>
    </r>
  </si>
  <si>
    <r>
      <t xml:space="preserve">  (with T</t>
    </r>
    <r>
      <rPr>
        <vertAlign val="subscript"/>
        <sz val="11"/>
        <color theme="1"/>
        <rFont val="Calibri"/>
        <family val="2"/>
        <scheme val="minor"/>
      </rPr>
      <t>ww</t>
    </r>
    <r>
      <rPr>
        <sz val="11"/>
        <color theme="1"/>
        <rFont val="Calibri"/>
        <family val="2"/>
        <scheme val="minor"/>
      </rPr>
      <t xml:space="preserve"> in 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C)</t>
    </r>
  </si>
  <si>
    <t>Copyright © 2019 Harlan H. Bengtson. All Rights Reserved.</t>
  </si>
  <si>
    <t>Copyright © 2019 Harlan H Bengtson. All Rights Reserved.</t>
  </si>
  <si>
    <r>
      <t xml:space="preserve">Aer. Tank Active biomass:  </t>
    </r>
    <r>
      <rPr>
        <b/>
        <sz val="12"/>
        <rFont val="Arial"/>
        <family val="2"/>
      </rPr>
      <t xml:space="preserve"> P</t>
    </r>
    <r>
      <rPr>
        <b/>
        <vertAlign val="subscript"/>
        <sz val="12"/>
        <rFont val="Arial"/>
        <family val="2"/>
      </rPr>
      <t>Xb</t>
    </r>
    <r>
      <rPr>
        <b/>
        <sz val="12"/>
        <rFont val="Arial"/>
        <family val="2"/>
      </rPr>
      <t xml:space="preserve"> =  Q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>Y(S</t>
    </r>
    <r>
      <rPr>
        <b/>
        <vertAlign val="subscript"/>
        <sz val="12"/>
        <rFont val="Arial"/>
        <family val="2"/>
      </rPr>
      <t>o</t>
    </r>
    <r>
      <rPr>
        <b/>
        <sz val="12"/>
        <rFont val="Arial"/>
        <family val="2"/>
      </rPr>
      <t xml:space="preserve"> - S)/(1 + k</t>
    </r>
    <r>
      <rPr>
        <b/>
        <vertAlign val="subscript"/>
        <sz val="12"/>
        <rFont val="Arial"/>
        <family val="2"/>
      </rPr>
      <t>d</t>
    </r>
    <r>
      <rPr>
        <b/>
        <sz val="12"/>
        <rFont val="Arial"/>
        <family val="2"/>
      </rPr>
      <t xml:space="preserve">(SRT)) </t>
    </r>
  </si>
  <si>
    <r>
      <t xml:space="preserve">  </t>
    </r>
    <r>
      <rPr>
        <b/>
        <sz val="12"/>
        <color theme="1"/>
        <rFont val="Calibri"/>
        <family val="2"/>
        <scheme val="minor"/>
      </rPr>
      <t>Note that Design SRT is a user input.  A typical value</t>
    </r>
  </si>
  <si>
    <t xml:space="preserve">  for Des. SRT is (FS)(Theor SRT)  =</t>
  </si>
  <si>
    <t xml:space="preserve"> 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</si>
</sst>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#,##0.0_);\(#,##0.0\)"/>
    <numFmt numFmtId="166" formatCode="0.000"/>
    <numFmt numFmtId="167" formatCode="0.0000"/>
    <numFmt numFmtId="168" formatCode="#,##0.0"/>
    <numFmt numFmtId="169" formatCode="#,##0.0000"/>
    <numFmt numFmtId="170" formatCode="0.0%"/>
    <numFmt numFmtId="171" formatCode="#,##0.000"/>
    <numFmt numFmtId="172" formatCode="_(* #,##0_);_(* \(#,##0\);_(* &quot;-&quot;??_);_(@_)"/>
    <numFmt numFmtId="173" formatCode="0.0000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4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u/>
      <sz val="14"/>
      <color indexed="12"/>
      <name val="Arial"/>
      <family val="2"/>
    </font>
    <font>
      <sz val="8"/>
      <color indexed="23"/>
      <name val="Verdana"/>
      <family val="2"/>
    </font>
    <font>
      <sz val="16"/>
      <name val="Arial"/>
      <family val="2"/>
    </font>
    <font>
      <b/>
      <i/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vertAlign val="subscript"/>
      <sz val="12"/>
      <name val="Arial"/>
      <family val="2"/>
    </font>
    <font>
      <b/>
      <sz val="10"/>
      <color rgb="FF7030A0"/>
      <name val="Arial"/>
      <family val="2"/>
    </font>
    <font>
      <b/>
      <sz val="10"/>
      <color indexed="18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vertAlign val="subscript"/>
      <sz val="10"/>
      <name val="Arial"/>
      <family val="2"/>
    </font>
    <font>
      <b/>
      <sz val="11"/>
      <name val="Symbol"/>
      <family val="1"/>
      <charset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Symbol"/>
      <family val="1"/>
      <charset val="2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i/>
      <sz val="12"/>
      <name val="Arial"/>
      <family val="2"/>
    </font>
    <font>
      <sz val="11"/>
      <color indexed="8"/>
      <name val="Symbol"/>
      <family val="1"/>
      <charset val="2"/>
    </font>
    <font>
      <vertAlign val="subscript"/>
      <sz val="11"/>
      <color indexed="8"/>
      <name val="Arial"/>
      <family val="2"/>
    </font>
    <font>
      <sz val="10"/>
      <name val="Symbol"/>
      <family val="1"/>
      <charset val="2"/>
    </font>
    <font>
      <sz val="11"/>
      <name val="Arial"/>
      <family val="2"/>
    </font>
    <font>
      <i/>
      <sz val="10"/>
      <name val="Arial"/>
      <family val="2"/>
    </font>
    <font>
      <b/>
      <sz val="12"/>
      <name val="Symbol"/>
      <family val="1"/>
      <charset val="2"/>
    </font>
    <font>
      <b/>
      <u/>
      <sz val="18"/>
      <name val="Arial"/>
      <family val="2"/>
    </font>
    <font>
      <b/>
      <sz val="11"/>
      <color indexed="32"/>
      <name val="Arial"/>
      <family val="2"/>
    </font>
    <font>
      <b/>
      <vertAlign val="subscript"/>
      <sz val="11"/>
      <name val="Arial"/>
      <family val="2"/>
    </font>
    <font>
      <sz val="10"/>
      <color indexed="8"/>
      <name val="Arial"/>
      <family val="2"/>
    </font>
    <font>
      <b/>
      <sz val="11"/>
      <color indexed="12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sz val="10"/>
      <color indexed="30"/>
      <name val="Arial"/>
      <family val="2"/>
    </font>
    <font>
      <vertAlign val="sub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bscript"/>
      <sz val="11"/>
      <color indexed="12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rgb="FF7030A0"/>
      <name val="Arial"/>
      <family val="2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vertAlign val="superscript"/>
      <sz val="11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8" fillId="0" borderId="0"/>
    <xf numFmtId="0" fontId="33" fillId="0" borderId="0"/>
  </cellStyleXfs>
  <cellXfs count="20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0" fontId="0" fillId="0" borderId="1" xfId="0" applyBorder="1"/>
    <xf numFmtId="0" fontId="0" fillId="0" borderId="2" xfId="0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0" fillId="0" borderId="3" xfId="0" applyBorder="1"/>
    <xf numFmtId="0" fontId="8" fillId="0" borderId="4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9" fillId="0" borderId="8" xfId="0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3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Protection="1">
      <protection locked="0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8" fillId="2" borderId="12" xfId="0" applyFont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24" fillId="0" borderId="0" xfId="0" applyFont="1" applyAlignment="1">
      <alignment vertical="top"/>
    </xf>
    <xf numFmtId="1" fontId="18" fillId="2" borderId="12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23" fillId="0" borderId="0" xfId="0" applyFont="1" applyAlignment="1">
      <alignment vertical="top"/>
    </xf>
    <xf numFmtId="9" fontId="18" fillId="2" borderId="12" xfId="2" applyFont="1" applyFill="1" applyBorder="1" applyAlignment="1" applyProtection="1">
      <alignment horizontal="center"/>
      <protection locked="0"/>
    </xf>
    <xf numFmtId="0" fontId="20" fillId="0" borderId="13" xfId="0" applyFont="1" applyBorder="1"/>
    <xf numFmtId="0" fontId="0" fillId="0" borderId="14" xfId="0" applyBorder="1"/>
    <xf numFmtId="0" fontId="0" fillId="0" borderId="15" xfId="0" applyBorder="1"/>
    <xf numFmtId="0" fontId="22" fillId="0" borderId="0" xfId="0" applyFont="1" applyAlignment="1">
      <alignment horizontal="left"/>
    </xf>
    <xf numFmtId="0" fontId="20" fillId="0" borderId="16" xfId="0" applyFont="1" applyBorder="1" applyAlignment="1">
      <alignment vertical="center"/>
    </xf>
    <xf numFmtId="0" fontId="20" fillId="0" borderId="17" xfId="0" applyFont="1" applyBorder="1"/>
    <xf numFmtId="0" fontId="0" fillId="0" borderId="18" xfId="0" applyBorder="1"/>
    <xf numFmtId="0" fontId="22" fillId="0" borderId="0" xfId="0" applyFont="1" applyAlignment="1">
      <alignment vertical="center"/>
    </xf>
    <xf numFmtId="0" fontId="22" fillId="0" borderId="0" xfId="0" applyFont="1"/>
    <xf numFmtId="0" fontId="19" fillId="0" borderId="0" xfId="0" applyFont="1" applyAlignment="1">
      <alignment horizontal="center" vertical="center"/>
    </xf>
    <xf numFmtId="37" fontId="18" fillId="2" borderId="12" xfId="1" applyNumberFormat="1" applyFont="1" applyFill="1" applyBorder="1" applyAlignment="1" applyProtection="1">
      <alignment horizontal="center"/>
      <protection locked="0"/>
    </xf>
    <xf numFmtId="0" fontId="30" fillId="0" borderId="0" xfId="0" applyFont="1"/>
    <xf numFmtId="0" fontId="30" fillId="0" borderId="0" xfId="0" applyFont="1" applyAlignment="1">
      <alignment vertical="center"/>
    </xf>
    <xf numFmtId="165" fontId="18" fillId="2" borderId="12" xfId="1" applyNumberFormat="1" applyFont="1" applyFill="1" applyBorder="1" applyAlignment="1" applyProtection="1">
      <alignment horizontal="center"/>
      <protection locked="0"/>
    </xf>
    <xf numFmtId="0" fontId="24" fillId="0" borderId="0" xfId="0" applyFont="1"/>
    <xf numFmtId="0" fontId="0" fillId="0" borderId="0" xfId="0" applyAlignment="1">
      <alignment horizontal="left"/>
    </xf>
    <xf numFmtId="1" fontId="18" fillId="3" borderId="12" xfId="2" applyNumberFormat="1" applyFont="1" applyFill="1" applyBorder="1" applyAlignment="1">
      <alignment horizontal="center"/>
    </xf>
    <xf numFmtId="3" fontId="18" fillId="3" borderId="12" xfId="2" applyNumberFormat="1" applyFont="1" applyFill="1" applyBorder="1" applyAlignment="1">
      <alignment horizontal="center"/>
    </xf>
    <xf numFmtId="0" fontId="34" fillId="0" borderId="0" xfId="4" applyFont="1"/>
    <xf numFmtId="0" fontId="33" fillId="0" borderId="0" xfId="4"/>
    <xf numFmtId="0" fontId="36" fillId="0" borderId="0" xfId="4" applyFont="1"/>
    <xf numFmtId="0" fontId="8" fillId="0" borderId="0" xfId="0" applyFont="1" applyAlignment="1">
      <alignment vertical="top"/>
    </xf>
    <xf numFmtId="0" fontId="3" fillId="5" borderId="9" xfId="0" applyFont="1" applyFill="1" applyBorder="1"/>
    <xf numFmtId="0" fontId="0" fillId="5" borderId="10" xfId="0" applyFill="1" applyBorder="1"/>
    <xf numFmtId="0" fontId="0" fillId="5" borderId="11" xfId="0" applyFill="1" applyBorder="1"/>
    <xf numFmtId="0" fontId="33" fillId="0" borderId="19" xfId="4" applyBorder="1"/>
    <xf numFmtId="0" fontId="33" fillId="0" borderId="20" xfId="4" applyBorder="1"/>
    <xf numFmtId="1" fontId="18" fillId="2" borderId="12" xfId="0" applyNumberFormat="1" applyFont="1" applyFill="1" applyBorder="1" applyAlignment="1" applyProtection="1">
      <alignment horizontal="center"/>
      <protection locked="0"/>
    </xf>
    <xf numFmtId="0" fontId="18" fillId="0" borderId="0" xfId="5" applyAlignment="1">
      <alignment horizontal="left"/>
    </xf>
    <xf numFmtId="0" fontId="36" fillId="0" borderId="19" xfId="4" applyFont="1" applyBorder="1"/>
    <xf numFmtId="0" fontId="18" fillId="0" borderId="0" xfId="5"/>
    <xf numFmtId="164" fontId="0" fillId="2" borderId="12" xfId="1" applyNumberFormat="1" applyFont="1" applyFill="1" applyBorder="1" applyAlignment="1" applyProtection="1">
      <alignment horizontal="center"/>
      <protection locked="0"/>
    </xf>
    <xf numFmtId="1" fontId="0" fillId="2" borderId="12" xfId="1" applyNumberFormat="1" applyFont="1" applyFill="1" applyBorder="1" applyAlignment="1" applyProtection="1">
      <alignment horizontal="center"/>
      <protection locked="0"/>
    </xf>
    <xf numFmtId="0" fontId="41" fillId="0" borderId="0" xfId="0" applyFont="1"/>
    <xf numFmtId="0" fontId="9" fillId="0" borderId="0" xfId="6" applyFont="1"/>
    <xf numFmtId="0" fontId="18" fillId="0" borderId="0" xfId="6"/>
    <xf numFmtId="0" fontId="25" fillId="0" borderId="0" xfId="0" applyFont="1" applyAlignment="1">
      <alignment vertical="top"/>
    </xf>
    <xf numFmtId="0" fontId="18" fillId="2" borderId="12" xfId="5" applyFill="1" applyBorder="1" applyAlignment="1" applyProtection="1">
      <alignment horizontal="center"/>
      <protection locked="0"/>
    </xf>
    <xf numFmtId="2" fontId="18" fillId="0" borderId="12" xfId="0" applyNumberFormat="1" applyFont="1" applyBorder="1" applyAlignment="1" applyProtection="1">
      <alignment horizontal="center"/>
      <protection locked="0"/>
    </xf>
    <xf numFmtId="164" fontId="18" fillId="0" borderId="12" xfId="0" applyNumberFormat="1" applyFont="1" applyBorder="1" applyAlignment="1" applyProtection="1">
      <alignment horizontal="center"/>
      <protection locked="0"/>
    </xf>
    <xf numFmtId="0" fontId="0" fillId="0" borderId="20" xfId="0" applyBorder="1"/>
    <xf numFmtId="0" fontId="44" fillId="0" borderId="0" xfId="6" applyFont="1"/>
    <xf numFmtId="0" fontId="8" fillId="0" borderId="0" xfId="6" applyFont="1" applyAlignment="1">
      <alignment horizontal="center"/>
    </xf>
    <xf numFmtId="0" fontId="0" fillId="0" borderId="8" xfId="0" applyBorder="1"/>
    <xf numFmtId="0" fontId="0" fillId="0" borderId="19" xfId="0" applyBorder="1"/>
    <xf numFmtId="0" fontId="20" fillId="0" borderId="0" xfId="0" applyFont="1" applyAlignment="1">
      <alignment horizontal="left" vertical="center"/>
    </xf>
    <xf numFmtId="164" fontId="18" fillId="2" borderId="12" xfId="7" applyNumberFormat="1" applyFill="1" applyBorder="1" applyAlignment="1" applyProtection="1">
      <alignment horizontal="center"/>
      <protection locked="0"/>
    </xf>
    <xf numFmtId="0" fontId="45" fillId="0" borderId="0" xfId="0" applyFont="1"/>
    <xf numFmtId="0" fontId="45" fillId="0" borderId="0" xfId="0" applyFont="1" applyAlignment="1">
      <alignment vertical="top"/>
    </xf>
    <xf numFmtId="2" fontId="0" fillId="3" borderId="12" xfId="0" applyNumberFormat="1" applyFill="1" applyBorder="1" applyAlignment="1">
      <alignment horizontal="center"/>
    </xf>
    <xf numFmtId="0" fontId="47" fillId="0" borderId="0" xfId="0" applyFont="1"/>
    <xf numFmtId="164" fontId="0" fillId="3" borderId="12" xfId="0" applyNumberFormat="1" applyFill="1" applyBorder="1" applyAlignment="1">
      <alignment horizontal="center"/>
    </xf>
    <xf numFmtId="1" fontId="0" fillId="6" borderId="12" xfId="0" applyNumberFormat="1" applyFill="1" applyBorder="1" applyAlignment="1">
      <alignment horizontal="center"/>
    </xf>
    <xf numFmtId="164" fontId="0" fillId="6" borderId="12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166" fontId="0" fillId="6" borderId="12" xfId="0" applyNumberFormat="1" applyFill="1" applyBorder="1" applyAlignment="1">
      <alignment horizontal="center"/>
    </xf>
    <xf numFmtId="0" fontId="25" fillId="0" borderId="0" xfId="0" applyFont="1"/>
    <xf numFmtId="0" fontId="18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8" fillId="0" borderId="0" xfId="0" applyFont="1"/>
    <xf numFmtId="3" fontId="0" fillId="6" borderId="12" xfId="0" applyNumberFormat="1" applyFill="1" applyBorder="1" applyAlignment="1">
      <alignment horizontal="center"/>
    </xf>
    <xf numFmtId="0" fontId="48" fillId="0" borderId="0" xfId="0" applyFont="1" applyAlignment="1">
      <alignment vertical="top"/>
    </xf>
    <xf numFmtId="0" fontId="20" fillId="0" borderId="0" xfId="0" applyFont="1"/>
    <xf numFmtId="0" fontId="20" fillId="0" borderId="0" xfId="0" applyFont="1" applyAlignment="1">
      <alignment vertical="center"/>
    </xf>
    <xf numFmtId="164" fontId="18" fillId="2" borderId="12" xfId="7" applyNumberFormat="1" applyFill="1" applyBorder="1" applyAlignment="1">
      <alignment horizontal="center"/>
    </xf>
    <xf numFmtId="1" fontId="18" fillId="2" borderId="12" xfId="7" applyNumberFormat="1" applyFill="1" applyBorder="1" applyAlignment="1" applyProtection="1">
      <alignment horizontal="center"/>
      <protection locked="0"/>
    </xf>
    <xf numFmtId="164" fontId="18" fillId="3" borderId="12" xfId="7" applyNumberFormat="1" applyFill="1" applyBorder="1" applyAlignment="1">
      <alignment horizontal="center"/>
    </xf>
    <xf numFmtId="168" fontId="0" fillId="6" borderId="12" xfId="0" applyNumberFormat="1" applyFill="1" applyBorder="1" applyAlignment="1">
      <alignment horizontal="center"/>
    </xf>
    <xf numFmtId="1" fontId="18" fillId="3" borderId="12" xfId="7" applyNumberFormat="1" applyFill="1" applyBorder="1" applyAlignment="1">
      <alignment horizontal="center"/>
    </xf>
    <xf numFmtId="1" fontId="0" fillId="3" borderId="12" xfId="0" applyNumberFormat="1" applyFill="1" applyBorder="1" applyAlignment="1">
      <alignment horizontal="center"/>
    </xf>
    <xf numFmtId="0" fontId="18" fillId="0" borderId="0" xfId="5" applyAlignment="1">
      <alignment horizontal="left" vertical="center"/>
    </xf>
    <xf numFmtId="3" fontId="0" fillId="3" borderId="12" xfId="0" applyNumberFormat="1" applyFill="1" applyBorder="1" applyAlignment="1">
      <alignment horizontal="center"/>
    </xf>
    <xf numFmtId="164" fontId="18" fillId="2" borderId="12" xfId="0" applyNumberFormat="1" applyFont="1" applyFill="1" applyBorder="1" applyAlignment="1" applyProtection="1">
      <alignment horizontal="center"/>
      <protection locked="0"/>
    </xf>
    <xf numFmtId="166" fontId="0" fillId="2" borderId="12" xfId="7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51" fillId="0" borderId="0" xfId="0" applyFont="1" applyAlignment="1">
      <alignment vertical="top"/>
    </xf>
    <xf numFmtId="9" fontId="0" fillId="3" borderId="12" xfId="2" applyFont="1" applyFill="1" applyBorder="1" applyAlignment="1">
      <alignment horizontal="center"/>
    </xf>
    <xf numFmtId="3" fontId="0" fillId="3" borderId="12" xfId="2" applyNumberFormat="1" applyFont="1" applyFill="1" applyBorder="1" applyAlignment="1">
      <alignment horizontal="center"/>
    </xf>
    <xf numFmtId="166" fontId="0" fillId="3" borderId="12" xfId="0" applyNumberFormat="1" applyFill="1" applyBorder="1" applyAlignment="1">
      <alignment horizontal="center"/>
    </xf>
    <xf numFmtId="0" fontId="20" fillId="0" borderId="0" xfId="5" applyFont="1" applyAlignment="1">
      <alignment horizontal="left"/>
    </xf>
    <xf numFmtId="164" fontId="33" fillId="3" borderId="12" xfId="8" applyNumberFormat="1" applyFill="1" applyBorder="1" applyAlignment="1">
      <alignment horizontal="center"/>
    </xf>
    <xf numFmtId="4" fontId="0" fillId="3" borderId="12" xfId="0" applyNumberFormat="1" applyFill="1" applyBorder="1" applyAlignment="1">
      <alignment horizontal="center"/>
    </xf>
    <xf numFmtId="169" fontId="0" fillId="3" borderId="12" xfId="0" applyNumberFormat="1" applyFill="1" applyBorder="1" applyAlignment="1">
      <alignment horizontal="center"/>
    </xf>
    <xf numFmtId="167" fontId="18" fillId="3" borderId="12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170" fontId="0" fillId="3" borderId="12" xfId="2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2" fontId="28" fillId="3" borderId="12" xfId="0" applyNumberFormat="1" applyFont="1" applyFill="1" applyBorder="1" applyAlignment="1">
      <alignment horizontal="center"/>
    </xf>
    <xf numFmtId="0" fontId="43" fillId="0" borderId="0" xfId="0" applyFont="1"/>
    <xf numFmtId="0" fontId="4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2" borderId="12" xfId="0" applyFill="1" applyBorder="1" applyAlignment="1">
      <alignment horizontal="center"/>
    </xf>
    <xf numFmtId="10" fontId="18" fillId="2" borderId="12" xfId="2" applyNumberFormat="1" applyFont="1" applyFill="1" applyBorder="1" applyAlignment="1" applyProtection="1">
      <alignment horizontal="center"/>
      <protection locked="0"/>
    </xf>
    <xf numFmtId="2" fontId="18" fillId="2" borderId="12" xfId="1" applyNumberFormat="1" applyFont="1" applyFill="1" applyBorder="1" applyAlignment="1">
      <alignment horizontal="center"/>
    </xf>
    <xf numFmtId="0" fontId="20" fillId="0" borderId="0" xfId="0" applyFont="1" applyAlignment="1">
      <alignment vertical="top"/>
    </xf>
    <xf numFmtId="0" fontId="18" fillId="0" borderId="0" xfId="9" applyAlignment="1">
      <alignment horizontal="center"/>
    </xf>
    <xf numFmtId="0" fontId="28" fillId="0" borderId="0" xfId="0" applyFont="1"/>
    <xf numFmtId="170" fontId="18" fillId="3" borderId="12" xfId="2" applyNumberFormat="1" applyFont="1" applyFill="1" applyBorder="1" applyAlignment="1">
      <alignment horizontal="center"/>
    </xf>
    <xf numFmtId="0" fontId="58" fillId="0" borderId="0" xfId="0" applyFont="1"/>
    <xf numFmtId="0" fontId="59" fillId="0" borderId="0" xfId="0" applyFont="1"/>
    <xf numFmtId="1" fontId="0" fillId="0" borderId="0" xfId="0" applyNumberFormat="1" applyAlignment="1">
      <alignment horizontal="center"/>
    </xf>
    <xf numFmtId="0" fontId="3" fillId="0" borderId="0" xfId="10" applyFont="1"/>
    <xf numFmtId="0" fontId="33" fillId="0" borderId="0" xfId="10"/>
    <xf numFmtId="0" fontId="41" fillId="0" borderId="0" xfId="6" applyFont="1"/>
    <xf numFmtId="0" fontId="60" fillId="0" borderId="0" xfId="6" applyFont="1"/>
    <xf numFmtId="0" fontId="49" fillId="0" borderId="0" xfId="0" applyFont="1"/>
    <xf numFmtId="168" fontId="18" fillId="3" borderId="12" xfId="2" applyNumberFormat="1" applyFont="1" applyFill="1" applyBorder="1" applyAlignment="1">
      <alignment horizontal="center"/>
    </xf>
    <xf numFmtId="171" fontId="18" fillId="3" borderId="12" xfId="2" applyNumberFormat="1" applyFont="1" applyFill="1" applyBorder="1" applyAlignment="1">
      <alignment horizontal="center"/>
    </xf>
    <xf numFmtId="172" fontId="0" fillId="0" borderId="0" xfId="1" applyNumberFormat="1" applyFont="1"/>
    <xf numFmtId="2" fontId="18" fillId="2" borderId="12" xfId="7" applyNumberFormat="1" applyFill="1" applyBorder="1" applyAlignment="1" applyProtection="1">
      <alignment horizontal="center"/>
      <protection locked="0"/>
    </xf>
    <xf numFmtId="166" fontId="18" fillId="2" borderId="12" xfId="7" applyNumberFormat="1" applyFill="1" applyBorder="1" applyAlignment="1" applyProtection="1">
      <alignment horizontal="center"/>
      <protection locked="0"/>
    </xf>
    <xf numFmtId="167" fontId="18" fillId="2" borderId="12" xfId="7" applyNumberFormat="1" applyFill="1" applyBorder="1" applyAlignment="1" applyProtection="1">
      <alignment horizontal="center"/>
      <protection locked="0"/>
    </xf>
    <xf numFmtId="1" fontId="18" fillId="3" borderId="12" xfId="1" applyNumberFormat="1" applyFont="1" applyFill="1" applyBorder="1" applyAlignment="1">
      <alignment horizontal="center"/>
    </xf>
    <xf numFmtId="2" fontId="18" fillId="3" borderId="12" xfId="1" applyNumberFormat="1" applyFont="1" applyFill="1" applyBorder="1" applyAlignment="1">
      <alignment horizontal="center"/>
    </xf>
    <xf numFmtId="0" fontId="25" fillId="0" borderId="0" xfId="0" applyFont="1" applyAlignment="1">
      <alignment horizontal="left" vertical="center"/>
    </xf>
    <xf numFmtId="168" fontId="0" fillId="3" borderId="12" xfId="0" applyNumberFormat="1" applyFill="1" applyBorder="1" applyAlignment="1">
      <alignment horizontal="center"/>
    </xf>
    <xf numFmtId="0" fontId="65" fillId="0" borderId="0" xfId="0" applyFont="1"/>
    <xf numFmtId="167" fontId="0" fillId="3" borderId="12" xfId="0" applyNumberFormat="1" applyFill="1" applyBorder="1" applyAlignment="1">
      <alignment horizontal="center"/>
    </xf>
    <xf numFmtId="167" fontId="25" fillId="3" borderId="12" xfId="0" applyNumberFormat="1" applyFont="1" applyFill="1" applyBorder="1" applyAlignment="1">
      <alignment horizontal="center"/>
    </xf>
    <xf numFmtId="173" fontId="18" fillId="3" borderId="12" xfId="0" applyNumberFormat="1" applyFont="1" applyFill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/>
    <xf numFmtId="0" fontId="36" fillId="0" borderId="0" xfId="0" applyFont="1"/>
    <xf numFmtId="0" fontId="34" fillId="0" borderId="0" xfId="0" applyFont="1"/>
    <xf numFmtId="0" fontId="0" fillId="0" borderId="13" xfId="0" applyBorder="1"/>
    <xf numFmtId="0" fontId="71" fillId="0" borderId="16" xfId="0" applyFont="1" applyBorder="1" applyAlignment="1">
      <alignment vertical="center"/>
    </xf>
    <xf numFmtId="164" fontId="18" fillId="2" borderId="25" xfId="7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71" fillId="0" borderId="18" xfId="0" applyFont="1" applyBorder="1" applyAlignment="1">
      <alignment vertical="center"/>
    </xf>
    <xf numFmtId="164" fontId="71" fillId="0" borderId="21" xfId="0" applyNumberFormat="1" applyFont="1" applyBorder="1" applyAlignment="1">
      <alignment horizontal="center" vertical="center"/>
    </xf>
    <xf numFmtId="0" fontId="11" fillId="0" borderId="0" xfId="3" applyFont="1" applyAlignment="1" applyProtection="1">
      <alignment horizontal="center"/>
    </xf>
    <xf numFmtId="0" fontId="36" fillId="0" borderId="19" xfId="4" applyFont="1" applyBorder="1" applyAlignment="1">
      <alignment horizontal="center"/>
    </xf>
    <xf numFmtId="0" fontId="36" fillId="0" borderId="20" xfId="4" applyFont="1" applyBorder="1" applyAlignment="1">
      <alignment horizontal="center"/>
    </xf>
    <xf numFmtId="164" fontId="36" fillId="0" borderId="19" xfId="4" applyNumberFormat="1" applyFont="1" applyBorder="1" applyAlignment="1">
      <alignment horizontal="center"/>
    </xf>
    <xf numFmtId="164" fontId="36" fillId="0" borderId="20" xfId="4" applyNumberFormat="1" applyFont="1" applyBorder="1" applyAlignment="1">
      <alignment horizontal="center"/>
    </xf>
    <xf numFmtId="43" fontId="36" fillId="0" borderId="19" xfId="4" applyNumberFormat="1" applyFont="1" applyBorder="1" applyAlignment="1">
      <alignment horizontal="center"/>
    </xf>
    <xf numFmtId="43" fontId="36" fillId="0" borderId="20" xfId="4" applyNumberFormat="1" applyFont="1" applyBorder="1" applyAlignment="1">
      <alignment horizontal="center"/>
    </xf>
    <xf numFmtId="2" fontId="36" fillId="0" borderId="19" xfId="4" applyNumberFormat="1" applyFont="1" applyBorder="1" applyAlignment="1">
      <alignment horizontal="center"/>
    </xf>
    <xf numFmtId="2" fontId="36" fillId="0" borderId="20" xfId="4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6" fillId="0" borderId="21" xfId="4" applyFont="1" applyBorder="1" applyAlignment="1">
      <alignment horizontal="center"/>
    </xf>
    <xf numFmtId="2" fontId="36" fillId="0" borderId="21" xfId="4" applyNumberFormat="1" applyFont="1" applyBorder="1" applyAlignment="1">
      <alignment horizontal="center"/>
    </xf>
    <xf numFmtId="166" fontId="36" fillId="0" borderId="21" xfId="4" applyNumberFormat="1" applyFont="1" applyBorder="1" applyAlignment="1">
      <alignment horizontal="center"/>
    </xf>
    <xf numFmtId="164" fontId="28" fillId="6" borderId="9" xfId="0" applyNumberFormat="1" applyFont="1" applyFill="1" applyBorder="1" applyAlignment="1">
      <alignment horizontal="center"/>
    </xf>
    <xf numFmtId="164" fontId="28" fillId="6" borderId="11" xfId="0" applyNumberFormat="1" applyFont="1" applyFill="1" applyBorder="1" applyAlignment="1">
      <alignment horizontal="center"/>
    </xf>
    <xf numFmtId="0" fontId="25" fillId="4" borderId="10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10" fillId="0" borderId="0" xfId="3" applyAlignment="1" applyProtection="1">
      <alignment horizontal="center"/>
    </xf>
    <xf numFmtId="0" fontId="10" fillId="0" borderId="0" xfId="3" applyAlignment="1" applyProtection="1">
      <alignment horizontal="left" vertical="center"/>
    </xf>
    <xf numFmtId="37" fontId="28" fillId="6" borderId="9" xfId="1" applyNumberFormat="1" applyFont="1" applyFill="1" applyBorder="1" applyAlignment="1">
      <alignment horizontal="center"/>
    </xf>
    <xf numFmtId="37" fontId="28" fillId="6" borderId="11" xfId="1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5" xfId="8" xr:uid="{00000000-0005-0000-0000-000002000000}"/>
    <cellStyle name="Hyperlink" xfId="3" builtinId="8"/>
    <cellStyle name="Normal" xfId="0" builtinId="0"/>
    <cellStyle name="Normal 2" xfId="5" xr:uid="{00000000-0005-0000-0000-000005000000}"/>
    <cellStyle name="Normal 3 2" xfId="6" xr:uid="{00000000-0005-0000-0000-000006000000}"/>
    <cellStyle name="Normal_1. Introduction" xfId="10" xr:uid="{00000000-0005-0000-0000-000007000000}"/>
    <cellStyle name="Normal_2. User Inputs and Constants" xfId="4" xr:uid="{00000000-0005-0000-0000-000008000000}"/>
    <cellStyle name="Normal_3. BOD_Nitrif_Design" xfId="9" xr:uid="{00000000-0005-0000-0000-000009000000}"/>
    <cellStyle name="Percent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Design</a:t>
            </a:r>
            <a:r>
              <a:rPr lang="en-US" baseline="0"/>
              <a:t> Membrane Flux vs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6589632545931761"/>
                  <c:y val="1.027303878681831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'6. Eqn for Membrane Flux vs T'!$B$5:$B$9</c:f>
              <c:numCache>
                <c:formatCode>General</c:formatCode>
                <c:ptCount val="5"/>
                <c:pt idx="0">
                  <c:v>41</c:v>
                </c:pt>
                <c:pt idx="1">
                  <c:v>50</c:v>
                </c:pt>
                <c:pt idx="2">
                  <c:v>59</c:v>
                </c:pt>
                <c:pt idx="3">
                  <c:v>68</c:v>
                </c:pt>
                <c:pt idx="4">
                  <c:v>77</c:v>
                </c:pt>
              </c:numCache>
            </c:numRef>
          </c:xVal>
          <c:yVal>
            <c:numRef>
              <c:f>'6. Eqn for Membrane Flux vs T'!$C$5:$C$9</c:f>
              <c:numCache>
                <c:formatCode>General</c:formatCode>
                <c:ptCount val="5"/>
                <c:pt idx="0">
                  <c:v>11</c:v>
                </c:pt>
                <c:pt idx="1">
                  <c:v>14.5</c:v>
                </c:pt>
                <c:pt idx="2">
                  <c:v>18</c:v>
                </c:pt>
                <c:pt idx="3">
                  <c:v>22</c:v>
                </c:pt>
                <c:pt idx="4">
                  <c:v>25.5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0A0-48EC-BC93-32F9C7C6F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304776"/>
        <c:axId val="595309696"/>
      </c:scatterChart>
      <c:valAx>
        <c:axId val="595304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Temperature, degrees 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5309696"/>
        <c:crosses val="autoZero"/>
        <c:crossBetween val="midCat"/>
      </c:valAx>
      <c:valAx>
        <c:axId val="59530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Membrane</a:t>
                </a:r>
                <a:r>
                  <a:rPr lang="en-US" baseline="0"/>
                  <a:t> Flux, L/sq m/h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5304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0</xdr:row>
      <xdr:rowOff>171450</xdr:rowOff>
    </xdr:from>
    <xdr:to>
      <xdr:col>19</xdr:col>
      <xdr:colOff>8723</xdr:colOff>
      <xdr:row>10</xdr:row>
      <xdr:rowOff>102183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C520EE-4D39-49D2-B139-D3093DF2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171450"/>
          <a:ext cx="5209373" cy="20357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495300</xdr:colOff>
      <xdr:row>0</xdr:row>
      <xdr:rowOff>200025</xdr:rowOff>
    </xdr:from>
    <xdr:to>
      <xdr:col>18</xdr:col>
      <xdr:colOff>389929</xdr:colOff>
      <xdr:row>11</xdr:row>
      <xdr:rowOff>37812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43D4EA-8428-432F-989E-241A9324C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200025"/>
          <a:ext cx="4771429" cy="23047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152401</xdr:rowOff>
    </xdr:from>
    <xdr:to>
      <xdr:col>17</xdr:col>
      <xdr:colOff>637373</xdr:colOff>
      <xdr:row>9</xdr:row>
      <xdr:rowOff>73496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0822E3-0AA4-4A82-8BD9-A1C9F797D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152401"/>
          <a:ext cx="5428448" cy="2121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2</xdr:row>
      <xdr:rowOff>161925</xdr:rowOff>
    </xdr:from>
    <xdr:to>
      <xdr:col>12</xdr:col>
      <xdr:colOff>76200</xdr:colOff>
      <xdr:row>17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E5A967-99F5-4284-841B-E53191781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kbe\OneDrive\Documents\Excel%20Spreadsheets%20for%20Sale\SBR%20Design\Files%20for%20Website\SBR%20Design_nitrif_denitrif_S.I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ontents"/>
      <sheetName val="2. Summary"/>
      <sheetName val="3. User Inputs"/>
      <sheetName val="4. BOD_Nitrif_Design"/>
      <sheetName val="5. Denitrif"/>
      <sheetName val="6. Graphs for SDNR"/>
    </sheetNames>
    <sheetDataSet>
      <sheetData sheetId="0"/>
      <sheetData sheetId="1"/>
      <sheetData sheetId="2">
        <row r="34">
          <cell r="H34">
            <v>16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gineeringexceltemplates.com/downloads_main.as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xylemwatersolutions.com/scs/sweden/sv-se/produkter/cirkulationspumpar/documents/san3.pdf" TargetMode="External"/><Relationship Id="rId3" Type="http://schemas.openxmlformats.org/officeDocument/2006/relationships/hyperlink" Target="http://www.engineeringexceltemplates.com/downloads_main.aspx" TargetMode="External"/><Relationship Id="rId7" Type="http://schemas.openxmlformats.org/officeDocument/2006/relationships/hyperlink" Target="http://www.headworksinternational.com/userfiles/file/Webinar/BV_Webinar_Slides.pdf" TargetMode="External"/><Relationship Id="rId2" Type="http://schemas.openxmlformats.org/officeDocument/2006/relationships/hyperlink" Target="http://www.engineeringexceltemplates.com/downloads_main.aspx" TargetMode="External"/><Relationship Id="rId1" Type="http://schemas.openxmlformats.org/officeDocument/2006/relationships/hyperlink" Target="http://www.engineeringexceltemplates.com/downloads_main.aspx" TargetMode="External"/><Relationship Id="rId6" Type="http://schemas.openxmlformats.org/officeDocument/2006/relationships/hyperlink" Target="http://www.engineeringexceltemplates.com/downloads_main.aspx" TargetMode="External"/><Relationship Id="rId5" Type="http://schemas.openxmlformats.org/officeDocument/2006/relationships/hyperlink" Target="http://www.engineeringexceltemplates.com/downloads_main.aspx" TargetMode="External"/><Relationship Id="rId4" Type="http://schemas.openxmlformats.org/officeDocument/2006/relationships/hyperlink" Target="http://www.engineeringexceltemplates.com/downloads_main.asp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ngineeringexceltemplates.com/downloads_main.aspx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gineeringexceltemplates.com/downloads_main.aspx" TargetMode="External"/><Relationship Id="rId13" Type="http://schemas.openxmlformats.org/officeDocument/2006/relationships/hyperlink" Target="http://www.engineeringexceltemplates.com/downloads_main.aspx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://accessengineeringlibrary.com/browse/standard-handbook-of-environmental-engineering-second-edition/p2000a1f99976_93001?utm_source=ActivatedSludge%20US&amp;utm_medium=Excel&amp;utm_content=Corbitt%206.5.1&amp;utm_campaign=blower" TargetMode="External"/><Relationship Id="rId7" Type="http://schemas.openxmlformats.org/officeDocument/2006/relationships/hyperlink" Target="http://www.xylemwatersolutions.com/scs/sweden/sv-se/produkter/cirkulationspumpar/documents/san3.pdf" TargetMode="External"/><Relationship Id="rId12" Type="http://schemas.openxmlformats.org/officeDocument/2006/relationships/hyperlink" Target="http://www.xylemwatersolutions.com/scs/sweden/sv-se/produkter/cirkulationspumpar/documents/san3.pdf" TargetMode="External"/><Relationship Id="rId17" Type="http://schemas.openxmlformats.org/officeDocument/2006/relationships/hyperlink" Target="http://www.engineeringexceltemplates.com/downloads_main.aspx" TargetMode="External"/><Relationship Id="rId2" Type="http://schemas.openxmlformats.org/officeDocument/2006/relationships/hyperlink" Target="http://www.xylemwatersolutions.com/scs/sweden/sv-se/produkter/cirkulationspumpar/documents/san3.pdf" TargetMode="External"/><Relationship Id="rId16" Type="http://schemas.openxmlformats.org/officeDocument/2006/relationships/hyperlink" Target="http://www.xylemwatersolutions.com/scs/sweden/sv-se/produkter/cirkulationspumpar/documents/san3.pdf" TargetMode="External"/><Relationship Id="rId1" Type="http://schemas.openxmlformats.org/officeDocument/2006/relationships/hyperlink" Target="http://www.xylemwatersolutions.com/scs/sweden/sv-se/produkter/cirkulationspumpar/documents/san3.pdf" TargetMode="External"/><Relationship Id="rId6" Type="http://schemas.openxmlformats.org/officeDocument/2006/relationships/hyperlink" Target="http://www.xylemwatersolutions.com/scs/sweden/sv-se/produkter/cirkulationspumpar/documents/san3.pdf" TargetMode="External"/><Relationship Id="rId11" Type="http://schemas.openxmlformats.org/officeDocument/2006/relationships/hyperlink" Target="http://www.engineeringexceltemplates.com/downloads_main.aspx" TargetMode="External"/><Relationship Id="rId5" Type="http://schemas.openxmlformats.org/officeDocument/2006/relationships/hyperlink" Target="http://www.engineeringexceltemplates.com/downloads_main.aspx" TargetMode="External"/><Relationship Id="rId15" Type="http://schemas.openxmlformats.org/officeDocument/2006/relationships/hyperlink" Target="http://accessengineeringlibrary.com/browse/standard-handbook-of-environmental-engineering-second-edition/p2000a1f99976_93001?utm_source=ActivatedSludge%20US&amp;utm_medium=Excel&amp;utm_content=Corbitt%206.5.1&amp;utm_campaign=blower" TargetMode="External"/><Relationship Id="rId10" Type="http://schemas.openxmlformats.org/officeDocument/2006/relationships/hyperlink" Target="http://www.engineeringexceltemplates.com/downloads_main.aspx" TargetMode="External"/><Relationship Id="rId19" Type="http://schemas.openxmlformats.org/officeDocument/2006/relationships/drawing" Target="../drawings/drawing2.xml"/><Relationship Id="rId4" Type="http://schemas.openxmlformats.org/officeDocument/2006/relationships/hyperlink" Target="http://www.engineeringexceltemplates.com/downloads_main.aspx" TargetMode="External"/><Relationship Id="rId9" Type="http://schemas.openxmlformats.org/officeDocument/2006/relationships/hyperlink" Target="http://www.engineeringexceltemplates.com/downloads_main.aspx" TargetMode="External"/><Relationship Id="rId14" Type="http://schemas.openxmlformats.org/officeDocument/2006/relationships/hyperlink" Target="http://onlinembr.info/mbr-design/design-exercise-using-spread-she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ngineeringexceltemplates.com/downloads_main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zoomScaleNormal="100" workbookViewId="0"/>
  </sheetViews>
  <sheetFormatPr defaultRowHeight="15" x14ac:dyDescent="0.25"/>
  <cols>
    <col min="11" max="11" width="3.7109375" customWidth="1"/>
  </cols>
  <sheetData>
    <row r="1" spans="1:13" ht="18" x14ac:dyDescent="0.25">
      <c r="C1" s="1" t="s">
        <v>0</v>
      </c>
      <c r="L1" s="144" t="s">
        <v>303</v>
      </c>
      <c r="M1" s="145"/>
    </row>
    <row r="2" spans="1:13" ht="15.75" x14ac:dyDescent="0.25">
      <c r="A2" s="2"/>
      <c r="L2" s="145"/>
      <c r="M2" s="145"/>
    </row>
    <row r="3" spans="1:13" ht="15.75" x14ac:dyDescent="0.25">
      <c r="A3" s="3" t="s">
        <v>1</v>
      </c>
      <c r="L3" s="145" t="s">
        <v>456</v>
      </c>
      <c r="M3" s="145"/>
    </row>
    <row r="4" spans="1:13" ht="15.75" x14ac:dyDescent="0.25">
      <c r="A4" s="3"/>
      <c r="L4" s="145" t="s">
        <v>307</v>
      </c>
      <c r="M4" s="145"/>
    </row>
    <row r="5" spans="1:13" ht="15.75" x14ac:dyDescent="0.25">
      <c r="A5" s="3"/>
      <c r="B5" s="3" t="s">
        <v>2</v>
      </c>
      <c r="L5" s="145" t="s">
        <v>312</v>
      </c>
      <c r="M5" s="145"/>
    </row>
    <row r="6" spans="1:13" ht="15.75" x14ac:dyDescent="0.25">
      <c r="A6" s="3"/>
      <c r="M6" s="145"/>
    </row>
    <row r="7" spans="1:13" ht="15.75" x14ac:dyDescent="0.25">
      <c r="A7" s="3"/>
      <c r="B7" s="3" t="s">
        <v>34</v>
      </c>
      <c r="L7" s="145" t="s">
        <v>304</v>
      </c>
      <c r="M7" s="145"/>
    </row>
    <row r="8" spans="1:13" ht="15.75" x14ac:dyDescent="0.25">
      <c r="A8" s="3"/>
      <c r="B8" s="3"/>
      <c r="L8" s="145" t="s">
        <v>305</v>
      </c>
      <c r="M8" s="145"/>
    </row>
    <row r="9" spans="1:13" ht="15.75" x14ac:dyDescent="0.25">
      <c r="A9" s="3"/>
      <c r="B9" s="2" t="s">
        <v>35</v>
      </c>
      <c r="L9" s="145" t="s">
        <v>306</v>
      </c>
    </row>
    <row r="10" spans="1:13" ht="15.75" x14ac:dyDescent="0.25">
      <c r="A10" s="3"/>
      <c r="B10" s="3"/>
    </row>
    <row r="11" spans="1:13" ht="15.75" x14ac:dyDescent="0.25">
      <c r="A11" s="3"/>
      <c r="B11" s="3" t="s">
        <v>457</v>
      </c>
      <c r="L11" s="145" t="s">
        <v>308</v>
      </c>
    </row>
    <row r="12" spans="1:13" ht="15.75" x14ac:dyDescent="0.25">
      <c r="B12" s="3"/>
      <c r="L12" s="145" t="s">
        <v>309</v>
      </c>
    </row>
    <row r="13" spans="1:13" ht="15.75" x14ac:dyDescent="0.25">
      <c r="B13" s="2" t="s">
        <v>458</v>
      </c>
      <c r="L13" s="145" t="s">
        <v>310</v>
      </c>
    </row>
    <row r="14" spans="1:13" x14ac:dyDescent="0.25">
      <c r="B14" s="4"/>
    </row>
    <row r="15" spans="1:13" ht="15.75" x14ac:dyDescent="0.25">
      <c r="B15" s="2" t="s">
        <v>467</v>
      </c>
      <c r="L15" s="145" t="s">
        <v>419</v>
      </c>
    </row>
    <row r="16" spans="1:13" x14ac:dyDescent="0.25">
      <c r="B16" s="4"/>
      <c r="L16" s="145" t="s">
        <v>420</v>
      </c>
    </row>
    <row r="17" spans="1:13" ht="15.75" x14ac:dyDescent="0.25">
      <c r="B17" s="2"/>
      <c r="L17" s="145" t="s">
        <v>421</v>
      </c>
      <c r="M17" s="146"/>
    </row>
    <row r="19" spans="1:13" x14ac:dyDescent="0.25">
      <c r="L19" t="s">
        <v>422</v>
      </c>
    </row>
    <row r="20" spans="1:13" x14ac:dyDescent="0.25">
      <c r="L20" t="s">
        <v>423</v>
      </c>
    </row>
    <row r="22" spans="1:13" ht="15.75" x14ac:dyDescent="0.25">
      <c r="A22" s="5" t="s">
        <v>3</v>
      </c>
      <c r="B22" s="4"/>
      <c r="L22" s="145" t="s">
        <v>318</v>
      </c>
    </row>
    <row r="23" spans="1:13" x14ac:dyDescent="0.25">
      <c r="A23" s="6" t="s">
        <v>4</v>
      </c>
      <c r="B23" s="4"/>
      <c r="L23" t="s">
        <v>319</v>
      </c>
    </row>
    <row r="24" spans="1:13" x14ac:dyDescent="0.25">
      <c r="A24" s="6" t="s">
        <v>5</v>
      </c>
      <c r="L24" t="s">
        <v>320</v>
      </c>
    </row>
    <row r="25" spans="1:13" x14ac:dyDescent="0.25">
      <c r="A25" s="6" t="s">
        <v>6</v>
      </c>
      <c r="L25" t="s">
        <v>321</v>
      </c>
    </row>
    <row r="26" spans="1:13" x14ac:dyDescent="0.25">
      <c r="A26" s="6" t="s">
        <v>7</v>
      </c>
    </row>
    <row r="27" spans="1:13" x14ac:dyDescent="0.25">
      <c r="A27" s="6" t="s">
        <v>8</v>
      </c>
    </row>
    <row r="28" spans="1:13" x14ac:dyDescent="0.25">
      <c r="A28" s="6" t="s">
        <v>9</v>
      </c>
    </row>
    <row r="29" spans="1:13" x14ac:dyDescent="0.25">
      <c r="A29" s="6" t="s">
        <v>10</v>
      </c>
    </row>
    <row r="30" spans="1:13" x14ac:dyDescent="0.25">
      <c r="A30" s="6" t="s">
        <v>11</v>
      </c>
    </row>
    <row r="34" spans="1:9" ht="15.75" x14ac:dyDescent="0.25">
      <c r="A34" s="2" t="s">
        <v>12</v>
      </c>
    </row>
    <row r="35" spans="1:9" ht="15.75" x14ac:dyDescent="0.25">
      <c r="A35" s="7" t="s">
        <v>13</v>
      </c>
    </row>
    <row r="40" spans="1:9" ht="15.75" thickBot="1" x14ac:dyDescent="0.3"/>
    <row r="41" spans="1:9" ht="23.25" x14ac:dyDescent="0.35">
      <c r="B41" s="9"/>
      <c r="C41" s="10"/>
      <c r="D41" s="10"/>
      <c r="E41" s="11"/>
      <c r="F41" s="11"/>
      <c r="G41" s="12"/>
      <c r="H41" s="10"/>
      <c r="I41" s="13"/>
    </row>
    <row r="42" spans="1:9" ht="23.25" x14ac:dyDescent="0.35">
      <c r="B42" s="14" t="s">
        <v>14</v>
      </c>
      <c r="C42" s="15"/>
      <c r="D42" s="15"/>
      <c r="E42" s="16"/>
      <c r="F42" s="16"/>
      <c r="G42" s="15"/>
      <c r="I42" s="17"/>
    </row>
    <row r="43" spans="1:9" ht="18" x14ac:dyDescent="0.25">
      <c r="B43" s="18"/>
      <c r="D43" s="176" t="s">
        <v>15</v>
      </c>
      <c r="E43" s="176"/>
      <c r="F43" s="176"/>
      <c r="G43" s="176"/>
      <c r="H43" s="176"/>
      <c r="I43" s="17"/>
    </row>
    <row r="44" spans="1:9" ht="24" thickBot="1" x14ac:dyDescent="0.4">
      <c r="B44" s="19"/>
      <c r="C44" s="20"/>
      <c r="D44" s="20"/>
      <c r="E44" s="20"/>
      <c r="F44" s="20"/>
      <c r="G44" s="20"/>
      <c r="H44" s="20"/>
      <c r="I44" s="21"/>
    </row>
    <row r="46" spans="1:9" x14ac:dyDescent="0.25">
      <c r="B46" s="22" t="s">
        <v>478</v>
      </c>
    </row>
  </sheetData>
  <mergeCells count="1">
    <mergeCell ref="D43:H43"/>
  </mergeCells>
  <hyperlinks>
    <hyperlink ref="D43" r:id="rId1" display="http://www.engineeringexceltemplates.com/downloads_main.aspx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topLeftCell="A15" workbookViewId="0">
      <selection activeCell="H22" sqref="H22"/>
    </sheetView>
  </sheetViews>
  <sheetFormatPr defaultRowHeight="15" x14ac:dyDescent="0.25"/>
  <cols>
    <col min="1" max="2" width="13.28515625" customWidth="1"/>
    <col min="3" max="3" width="11" customWidth="1"/>
    <col min="5" max="5" width="5.7109375" customWidth="1"/>
    <col min="6" max="6" width="12.5703125" customWidth="1"/>
    <col min="7" max="7" width="11.85546875" customWidth="1"/>
    <col min="8" max="11" width="9.140625" customWidth="1"/>
    <col min="13" max="13" width="9.7109375" customWidth="1"/>
    <col min="14" max="14" width="10.5703125" customWidth="1"/>
  </cols>
  <sheetData>
    <row r="1" spans="1:18" ht="20.25" x14ac:dyDescent="0.3">
      <c r="A1" s="23" t="s">
        <v>331</v>
      </c>
      <c r="J1" s="59" t="s">
        <v>36</v>
      </c>
      <c r="K1" s="60"/>
      <c r="L1" s="61"/>
      <c r="M1" s="61"/>
      <c r="N1" s="61"/>
      <c r="O1" s="61"/>
      <c r="P1" s="61"/>
      <c r="Q1" s="61"/>
      <c r="R1" s="61"/>
    </row>
    <row r="2" spans="1:18" ht="18" x14ac:dyDescent="0.25">
      <c r="A2" s="62" t="s">
        <v>108</v>
      </c>
      <c r="J2" s="60"/>
      <c r="K2" s="61"/>
      <c r="L2" s="61"/>
      <c r="M2" s="61"/>
      <c r="N2" s="61"/>
      <c r="O2" s="61"/>
      <c r="P2" s="61"/>
      <c r="Q2" s="61"/>
      <c r="R2" s="61"/>
    </row>
    <row r="3" spans="1:18" ht="15.75" thickBot="1" x14ac:dyDescent="0.3">
      <c r="J3" s="60"/>
      <c r="K3" s="177" t="s">
        <v>38</v>
      </c>
      <c r="L3" s="178"/>
      <c r="M3" s="177" t="s">
        <v>39</v>
      </c>
      <c r="N3" s="178"/>
      <c r="O3" s="177" t="s">
        <v>40</v>
      </c>
      <c r="P3" s="178"/>
      <c r="Q3" s="177" t="s">
        <v>41</v>
      </c>
      <c r="R3" s="178"/>
    </row>
    <row r="4" spans="1:18" ht="16.5" thickBot="1" x14ac:dyDescent="0.3">
      <c r="A4" s="63" t="s">
        <v>37</v>
      </c>
      <c r="B4" s="64"/>
      <c r="C4" s="64"/>
      <c r="D4" s="64"/>
      <c r="E4" s="64"/>
      <c r="F4" s="64"/>
      <c r="G4" s="64"/>
      <c r="H4" s="64"/>
      <c r="I4" s="65"/>
      <c r="J4" s="60"/>
      <c r="K4" s="61"/>
      <c r="L4" s="61"/>
      <c r="M4" s="61"/>
      <c r="N4" s="61"/>
      <c r="O4" s="60"/>
      <c r="P4" s="60"/>
      <c r="Q4" s="61"/>
      <c r="R4" s="61"/>
    </row>
    <row r="5" spans="1:18" ht="18.75" x14ac:dyDescent="0.35">
      <c r="J5" s="60"/>
      <c r="K5" s="66" t="s">
        <v>43</v>
      </c>
      <c r="L5" s="67"/>
      <c r="M5" s="177" t="s">
        <v>44</v>
      </c>
      <c r="N5" s="178"/>
      <c r="O5" s="177" t="s">
        <v>45</v>
      </c>
      <c r="P5" s="178"/>
      <c r="Q5" s="179">
        <v>6</v>
      </c>
      <c r="R5" s="180"/>
    </row>
    <row r="6" spans="1:18" ht="15.75" x14ac:dyDescent="0.25">
      <c r="A6" s="27" t="s">
        <v>42</v>
      </c>
      <c r="B6" s="3"/>
      <c r="C6" s="3"/>
      <c r="D6" s="3"/>
      <c r="J6" s="60"/>
      <c r="K6" s="60"/>
      <c r="L6" s="60"/>
      <c r="M6" s="60"/>
      <c r="N6" s="60"/>
      <c r="O6" s="60"/>
      <c r="P6" s="60"/>
      <c r="Q6" s="60"/>
      <c r="R6" s="60"/>
    </row>
    <row r="7" spans="1:18" ht="19.5" thickBot="1" x14ac:dyDescent="0.4">
      <c r="J7" s="69"/>
      <c r="K7" s="70" t="s">
        <v>110</v>
      </c>
      <c r="L7" s="67"/>
      <c r="M7" s="177" t="s">
        <v>47</v>
      </c>
      <c r="N7" s="178"/>
      <c r="O7" s="177" t="s">
        <v>48</v>
      </c>
      <c r="P7" s="178"/>
      <c r="Q7" s="179">
        <v>20</v>
      </c>
      <c r="R7" s="180"/>
    </row>
    <row r="8" spans="1:18" ht="19.5" thickBot="1" x14ac:dyDescent="0.4">
      <c r="A8" s="28" t="s">
        <v>46</v>
      </c>
      <c r="B8" s="31"/>
      <c r="C8" s="68">
        <v>6</v>
      </c>
      <c r="D8" s="33" t="s">
        <v>332</v>
      </c>
      <c r="F8" s="28" t="s">
        <v>115</v>
      </c>
      <c r="G8" s="31"/>
      <c r="H8" s="32">
        <v>250</v>
      </c>
      <c r="I8" s="34" t="s">
        <v>17</v>
      </c>
      <c r="J8" s="71"/>
      <c r="K8" s="60"/>
      <c r="L8" s="60"/>
      <c r="M8" s="60"/>
      <c r="N8" s="60"/>
      <c r="O8" s="60"/>
      <c r="P8" s="60"/>
      <c r="Q8" s="60"/>
      <c r="R8" s="60"/>
    </row>
    <row r="9" spans="1:18" ht="15.75" thickBot="1" x14ac:dyDescent="0.3">
      <c r="A9" s="28"/>
      <c r="B9" s="28"/>
      <c r="C9" s="29"/>
      <c r="F9" s="28"/>
      <c r="G9" s="31"/>
      <c r="H9" s="29"/>
      <c r="J9" s="69"/>
      <c r="K9" s="181" t="s">
        <v>49</v>
      </c>
      <c r="L9" s="182"/>
      <c r="M9" s="177" t="s">
        <v>50</v>
      </c>
      <c r="N9" s="178"/>
      <c r="O9" s="177" t="s">
        <v>51</v>
      </c>
      <c r="P9" s="178"/>
      <c r="Q9" s="183">
        <v>0.4</v>
      </c>
      <c r="R9" s="184"/>
    </row>
    <row r="10" spans="1:18" ht="19.5" thickBot="1" x14ac:dyDescent="0.4">
      <c r="A10" s="28" t="s">
        <v>113</v>
      </c>
      <c r="B10" s="31"/>
      <c r="C10" s="32">
        <v>250</v>
      </c>
      <c r="D10" s="34" t="s">
        <v>17</v>
      </c>
      <c r="F10" s="28" t="s">
        <v>116</v>
      </c>
      <c r="G10" s="31"/>
      <c r="H10" s="32">
        <v>60</v>
      </c>
      <c r="I10" s="34" t="s">
        <v>17</v>
      </c>
      <c r="J10" s="69"/>
      <c r="K10" s="60"/>
      <c r="L10" s="60"/>
      <c r="M10" s="60"/>
      <c r="N10" s="60"/>
      <c r="O10" s="60"/>
      <c r="P10" s="60"/>
      <c r="Q10" s="60"/>
      <c r="R10" s="60"/>
    </row>
    <row r="11" spans="1:18" ht="19.5" thickBot="1" x14ac:dyDescent="0.4">
      <c r="A11" s="28" t="s">
        <v>52</v>
      </c>
      <c r="B11" s="31"/>
      <c r="C11" s="32">
        <v>125</v>
      </c>
      <c r="D11" s="34" t="s">
        <v>17</v>
      </c>
      <c r="J11" s="69"/>
      <c r="K11" s="70" t="s">
        <v>53</v>
      </c>
      <c r="L11" s="67"/>
      <c r="M11" s="177" t="s">
        <v>44</v>
      </c>
      <c r="N11" s="178"/>
      <c r="O11" s="177" t="s">
        <v>54</v>
      </c>
      <c r="P11" s="178"/>
      <c r="Q11" s="177">
        <v>0.12</v>
      </c>
      <c r="R11" s="178"/>
    </row>
    <row r="12" spans="1:18" ht="19.5" thickBot="1" x14ac:dyDescent="0.4">
      <c r="F12" s="28" t="s">
        <v>117</v>
      </c>
      <c r="G12" s="31"/>
      <c r="H12" s="73">
        <v>40</v>
      </c>
      <c r="I12" s="34" t="s">
        <v>17</v>
      </c>
      <c r="J12" s="69"/>
      <c r="K12" s="60"/>
      <c r="L12" s="60"/>
      <c r="M12" s="60"/>
      <c r="N12" s="60"/>
      <c r="O12" s="60"/>
      <c r="P12" s="60"/>
      <c r="Q12" s="60"/>
      <c r="R12" s="60"/>
    </row>
    <row r="13" spans="1:18" ht="19.5" thickBot="1" x14ac:dyDescent="0.4">
      <c r="A13" s="28" t="s">
        <v>114</v>
      </c>
      <c r="B13" s="31"/>
      <c r="C13" s="32">
        <v>500</v>
      </c>
      <c r="D13" s="34" t="s">
        <v>17</v>
      </c>
      <c r="E13" s="28" t="s">
        <v>55</v>
      </c>
      <c r="G13" s="31"/>
      <c r="H13" s="72">
        <v>1.5</v>
      </c>
      <c r="I13" s="34"/>
      <c r="K13" s="187" t="s">
        <v>109</v>
      </c>
      <c r="L13" s="188"/>
      <c r="M13" s="185" t="s">
        <v>57</v>
      </c>
      <c r="N13" s="186"/>
      <c r="O13" s="177" t="s">
        <v>58</v>
      </c>
      <c r="P13" s="178"/>
      <c r="Q13" s="177">
        <v>0.15</v>
      </c>
      <c r="R13" s="178"/>
    </row>
    <row r="14" spans="1:18" ht="19.5" thickBot="1" x14ac:dyDescent="0.4">
      <c r="A14" s="28" t="s">
        <v>56</v>
      </c>
      <c r="B14" s="31"/>
      <c r="C14" s="32">
        <v>250</v>
      </c>
      <c r="D14" s="34" t="s">
        <v>17</v>
      </c>
      <c r="E14" s="28" t="s">
        <v>118</v>
      </c>
      <c r="G14" s="31"/>
      <c r="H14" s="72">
        <v>25</v>
      </c>
      <c r="I14" s="34" t="s">
        <v>17</v>
      </c>
      <c r="O14" s="60"/>
      <c r="P14" s="60"/>
      <c r="Q14" s="60"/>
      <c r="R14" s="60"/>
    </row>
    <row r="15" spans="1:18" ht="19.5" thickBot="1" x14ac:dyDescent="0.4">
      <c r="A15" s="28" t="s">
        <v>59</v>
      </c>
      <c r="B15" s="31"/>
      <c r="C15" s="32">
        <v>135</v>
      </c>
      <c r="D15" s="34" t="s">
        <v>17</v>
      </c>
      <c r="E15" s="28" t="s">
        <v>381</v>
      </c>
      <c r="G15" s="31"/>
      <c r="H15" s="73">
        <v>100</v>
      </c>
      <c r="I15" s="28" t="s">
        <v>62</v>
      </c>
      <c r="K15" t="s">
        <v>60</v>
      </c>
      <c r="M15" s="60"/>
      <c r="N15" s="60"/>
      <c r="O15" s="60"/>
      <c r="P15" s="60"/>
      <c r="Q15" s="60"/>
      <c r="R15" s="60"/>
    </row>
    <row r="16" spans="1:18" ht="15.75" thickBot="1" x14ac:dyDescent="0.3">
      <c r="J16" s="60"/>
      <c r="K16" s="60"/>
      <c r="L16" s="60"/>
      <c r="M16" s="60"/>
      <c r="N16" s="60"/>
      <c r="O16" s="60"/>
      <c r="P16" s="60"/>
      <c r="Q16" s="60"/>
      <c r="R16" s="60"/>
    </row>
    <row r="17" spans="1:18" ht="19.5" thickBot="1" x14ac:dyDescent="0.4">
      <c r="A17" s="28" t="s">
        <v>61</v>
      </c>
      <c r="B17" s="31"/>
      <c r="C17" s="32">
        <v>1.6</v>
      </c>
      <c r="E17" s="28" t="s">
        <v>119</v>
      </c>
      <c r="G17" s="31"/>
      <c r="H17" s="32">
        <v>77</v>
      </c>
      <c r="I17" s="33" t="s">
        <v>333</v>
      </c>
      <c r="K17" s="85" t="s">
        <v>111</v>
      </c>
      <c r="L17" s="81"/>
      <c r="M17" s="187" t="s">
        <v>57</v>
      </c>
      <c r="N17" s="188"/>
      <c r="O17" s="177" t="s">
        <v>63</v>
      </c>
      <c r="P17" s="178"/>
      <c r="Q17" s="177">
        <v>1.07</v>
      </c>
      <c r="R17" s="178"/>
    </row>
    <row r="18" spans="1:18" ht="18.75" x14ac:dyDescent="0.35">
      <c r="D18" t="s">
        <v>424</v>
      </c>
      <c r="F18" s="28"/>
      <c r="G18" s="31"/>
      <c r="H18" s="34"/>
      <c r="I18" s="34"/>
      <c r="J18" s="60"/>
      <c r="K18" s="70" t="s">
        <v>64</v>
      </c>
      <c r="L18" s="67"/>
      <c r="M18" s="177" t="s">
        <v>57</v>
      </c>
      <c r="N18" s="178"/>
      <c r="O18" s="177" t="s">
        <v>63</v>
      </c>
      <c r="P18" s="178"/>
      <c r="Q18" s="177">
        <v>1.04</v>
      </c>
      <c r="R18" s="178"/>
    </row>
    <row r="19" spans="1:18" ht="18.75" x14ac:dyDescent="0.35">
      <c r="A19" s="27" t="s">
        <v>66</v>
      </c>
      <c r="F19" s="74" t="s">
        <v>67</v>
      </c>
      <c r="K19" s="70" t="s">
        <v>65</v>
      </c>
      <c r="L19" s="67"/>
      <c r="M19" s="177" t="s">
        <v>57</v>
      </c>
      <c r="N19" s="178"/>
      <c r="O19" s="183">
        <v>1</v>
      </c>
      <c r="P19" s="184"/>
      <c r="Q19" s="183">
        <v>1</v>
      </c>
      <c r="R19" s="184"/>
    </row>
    <row r="20" spans="1:18" ht="15.75" thickBot="1" x14ac:dyDescent="0.3">
      <c r="O20" s="60"/>
      <c r="P20" s="60"/>
      <c r="Q20" s="60"/>
      <c r="R20" s="60"/>
    </row>
    <row r="21" spans="1:18" ht="24" thickBot="1" x14ac:dyDescent="0.4">
      <c r="A21" s="77" t="s">
        <v>70</v>
      </c>
      <c r="E21" s="69" t="s">
        <v>71</v>
      </c>
      <c r="G21" s="71"/>
      <c r="H21" s="78">
        <v>0.15</v>
      </c>
      <c r="K21" t="s">
        <v>68</v>
      </c>
      <c r="O21" s="75"/>
      <c r="P21" s="75"/>
      <c r="Q21" s="75"/>
      <c r="R21" s="75"/>
    </row>
    <row r="22" spans="1:18" ht="19.5" thickBot="1" x14ac:dyDescent="0.3">
      <c r="A22" s="30" t="s">
        <v>72</v>
      </c>
      <c r="B22" s="31"/>
      <c r="C22" s="32">
        <v>0.45</v>
      </c>
      <c r="D22" s="28" t="s">
        <v>334</v>
      </c>
      <c r="F22" s="30" t="s">
        <v>73</v>
      </c>
      <c r="G22" s="31"/>
      <c r="H22" s="32">
        <v>8</v>
      </c>
      <c r="I22" s="34" t="s">
        <v>17</v>
      </c>
      <c r="K22" t="s">
        <v>69</v>
      </c>
      <c r="N22" s="76"/>
      <c r="O22" s="76"/>
      <c r="P22" s="76"/>
      <c r="Q22" s="76"/>
      <c r="R22" s="76"/>
    </row>
    <row r="23" spans="1:18" ht="19.5" thickBot="1" x14ac:dyDescent="0.4">
      <c r="A23" s="69" t="s">
        <v>75</v>
      </c>
      <c r="B23" s="71"/>
      <c r="C23" s="78">
        <v>1.07</v>
      </c>
      <c r="D23" s="69" t="s">
        <v>76</v>
      </c>
      <c r="H23" s="78">
        <v>6</v>
      </c>
      <c r="I23" s="69" t="s">
        <v>335</v>
      </c>
    </row>
    <row r="24" spans="1:18" ht="19.5" thickBot="1" x14ac:dyDescent="0.4">
      <c r="A24" s="69" t="s">
        <v>77</v>
      </c>
      <c r="B24" s="71"/>
      <c r="C24" s="78">
        <v>1.04</v>
      </c>
      <c r="D24" s="69" t="s">
        <v>78</v>
      </c>
      <c r="G24" s="71"/>
      <c r="H24" s="78">
        <v>0.12</v>
      </c>
      <c r="I24" s="69" t="s">
        <v>335</v>
      </c>
      <c r="K24" t="s">
        <v>74</v>
      </c>
      <c r="O24" s="61"/>
      <c r="P24" s="61"/>
      <c r="Q24" s="61"/>
      <c r="R24" s="61"/>
    </row>
    <row r="25" spans="1:18" x14ac:dyDescent="0.25">
      <c r="K25" s="61"/>
      <c r="L25" s="61"/>
      <c r="M25" s="61"/>
      <c r="N25" s="61"/>
      <c r="O25" s="61"/>
      <c r="P25" s="61"/>
      <c r="Q25" s="61"/>
      <c r="R25" s="61"/>
    </row>
    <row r="26" spans="1:18" ht="15.75" thickBot="1" x14ac:dyDescent="0.3">
      <c r="A26" s="77" t="s">
        <v>79</v>
      </c>
      <c r="K26" s="189" t="s">
        <v>38</v>
      </c>
      <c r="L26" s="189"/>
      <c r="M26" s="189" t="s">
        <v>39</v>
      </c>
      <c r="N26" s="189"/>
      <c r="O26" s="189" t="s">
        <v>40</v>
      </c>
      <c r="P26" s="189"/>
      <c r="Q26" s="189" t="s">
        <v>41</v>
      </c>
      <c r="R26" s="189"/>
    </row>
    <row r="27" spans="1:18" ht="19.5" thickBot="1" x14ac:dyDescent="0.4">
      <c r="A27" s="28" t="s">
        <v>82</v>
      </c>
      <c r="B27" s="31"/>
      <c r="C27" s="32">
        <v>0.15</v>
      </c>
      <c r="D27" s="28" t="s">
        <v>336</v>
      </c>
      <c r="K27" s="61"/>
      <c r="L27" s="61"/>
      <c r="M27" s="61"/>
      <c r="N27" s="61"/>
      <c r="O27" s="61"/>
      <c r="P27" s="61"/>
      <c r="Q27" s="61"/>
      <c r="R27" s="61"/>
    </row>
    <row r="28" spans="1:18" ht="19.5" thickBot="1" x14ac:dyDescent="0.4">
      <c r="A28" s="69" t="s">
        <v>83</v>
      </c>
      <c r="B28" s="71"/>
      <c r="C28" s="78">
        <v>1.0720000000000001</v>
      </c>
      <c r="D28" s="69" t="s">
        <v>84</v>
      </c>
      <c r="H28" s="78">
        <v>0.9</v>
      </c>
      <c r="I28" s="69" t="s">
        <v>335</v>
      </c>
      <c r="K28" s="66" t="s">
        <v>80</v>
      </c>
      <c r="L28" s="67"/>
      <c r="M28" s="189" t="s">
        <v>44</v>
      </c>
      <c r="N28" s="189"/>
      <c r="O28" s="189" t="s">
        <v>81</v>
      </c>
      <c r="P28" s="189"/>
      <c r="Q28" s="190">
        <v>0.75</v>
      </c>
      <c r="R28" s="190"/>
    </row>
    <row r="29" spans="1:18" ht="19.5" thickBot="1" x14ac:dyDescent="0.4">
      <c r="A29" s="69" t="s">
        <v>88</v>
      </c>
      <c r="B29" s="71"/>
      <c r="C29" s="78">
        <v>1.0289999999999999</v>
      </c>
      <c r="D29" s="69" t="s">
        <v>89</v>
      </c>
      <c r="G29" s="71"/>
      <c r="H29" s="78">
        <v>0.17</v>
      </c>
      <c r="I29" s="69" t="s">
        <v>337</v>
      </c>
      <c r="K29" s="60"/>
      <c r="L29" s="60"/>
      <c r="M29" s="60"/>
      <c r="N29" s="60"/>
      <c r="O29" s="60"/>
      <c r="P29" s="60"/>
      <c r="Q29" s="60"/>
      <c r="R29" s="60"/>
    </row>
    <row r="30" spans="1:18" ht="19.5" thickBot="1" x14ac:dyDescent="0.4">
      <c r="A30" s="69" t="s">
        <v>90</v>
      </c>
      <c r="B30" s="71"/>
      <c r="C30" s="78">
        <v>1</v>
      </c>
      <c r="D30" s="28" t="s">
        <v>91</v>
      </c>
      <c r="G30" s="31"/>
      <c r="H30" s="32">
        <v>0.5</v>
      </c>
      <c r="I30" s="34" t="s">
        <v>17</v>
      </c>
      <c r="K30" s="70" t="s">
        <v>85</v>
      </c>
      <c r="L30" s="67"/>
      <c r="M30" s="70" t="s">
        <v>86</v>
      </c>
      <c r="N30" s="67"/>
      <c r="O30" s="189" t="s">
        <v>87</v>
      </c>
      <c r="P30" s="189"/>
      <c r="Q30" s="190">
        <v>0.74</v>
      </c>
      <c r="R30" s="190"/>
    </row>
    <row r="31" spans="1:18" ht="19.5" thickBot="1" x14ac:dyDescent="0.4">
      <c r="D31" s="28" t="s">
        <v>425</v>
      </c>
      <c r="H31" s="32">
        <v>0.5</v>
      </c>
      <c r="I31" s="34" t="s">
        <v>17</v>
      </c>
      <c r="K31" s="60"/>
      <c r="L31" s="60"/>
      <c r="M31" s="60"/>
      <c r="N31" s="60"/>
      <c r="O31" s="60"/>
      <c r="P31" s="60"/>
      <c r="Q31" s="60"/>
      <c r="R31" s="60"/>
    </row>
    <row r="32" spans="1:18" ht="18.75" x14ac:dyDescent="0.35">
      <c r="A32" s="27" t="s">
        <v>95</v>
      </c>
      <c r="B32" s="3"/>
      <c r="C32" s="3"/>
      <c r="D32" s="3"/>
      <c r="K32" s="70" t="s">
        <v>92</v>
      </c>
      <c r="L32" s="67"/>
      <c r="M32" s="70" t="s">
        <v>93</v>
      </c>
      <c r="N32" s="67"/>
      <c r="O32" s="189" t="s">
        <v>94</v>
      </c>
      <c r="P32" s="189"/>
      <c r="Q32" s="190">
        <v>0.12</v>
      </c>
      <c r="R32" s="190"/>
    </row>
    <row r="33" spans="1:18" ht="15.75" thickBot="1" x14ac:dyDescent="0.3">
      <c r="K33" s="60"/>
      <c r="L33" s="60"/>
      <c r="M33" s="60"/>
      <c r="N33" s="60"/>
      <c r="O33" s="60"/>
      <c r="P33" s="60"/>
      <c r="Q33" s="60"/>
      <c r="R33" s="60"/>
    </row>
    <row r="34" spans="1:18" ht="19.5" thickBot="1" x14ac:dyDescent="0.4">
      <c r="A34" s="28" t="s">
        <v>98</v>
      </c>
      <c r="B34" s="31"/>
      <c r="C34" s="79">
        <v>0.67</v>
      </c>
      <c r="D34" t="s">
        <v>99</v>
      </c>
      <c r="G34" s="80">
        <v>1.42</v>
      </c>
      <c r="H34" s="31" t="s">
        <v>338</v>
      </c>
      <c r="I34" s="34"/>
      <c r="K34" s="70" t="s">
        <v>96</v>
      </c>
      <c r="L34" s="67"/>
      <c r="M34" s="189" t="s">
        <v>44</v>
      </c>
      <c r="N34" s="189"/>
      <c r="O34" s="189" t="s">
        <v>97</v>
      </c>
      <c r="P34" s="189"/>
      <c r="Q34" s="189">
        <v>0.08</v>
      </c>
      <c r="R34" s="189"/>
    </row>
    <row r="35" spans="1:18" x14ac:dyDescent="0.25">
      <c r="K35" s="60"/>
      <c r="L35" s="60"/>
      <c r="M35" s="60"/>
      <c r="N35" s="60"/>
      <c r="O35" s="60"/>
      <c r="P35" s="60"/>
      <c r="Q35" s="60"/>
      <c r="R35" s="60"/>
    </row>
    <row r="36" spans="1:18" ht="18.75" x14ac:dyDescent="0.35">
      <c r="K36" s="70" t="s">
        <v>100</v>
      </c>
      <c r="L36" s="67"/>
      <c r="M36" s="189" t="s">
        <v>17</v>
      </c>
      <c r="N36" s="189"/>
      <c r="O36" s="189" t="s">
        <v>101</v>
      </c>
      <c r="P36" s="189"/>
      <c r="Q36" s="190">
        <v>0.5</v>
      </c>
      <c r="R36" s="190"/>
    </row>
    <row r="37" spans="1:18" x14ac:dyDescent="0.25">
      <c r="K37" s="60"/>
      <c r="L37" s="60"/>
      <c r="M37" s="60"/>
      <c r="N37" s="60"/>
      <c r="O37" s="60"/>
      <c r="P37" s="60"/>
      <c r="Q37" s="60"/>
      <c r="R37" s="60"/>
    </row>
    <row r="38" spans="1:18" ht="15.75" thickBot="1" x14ac:dyDescent="0.3">
      <c r="K38" s="61" t="s">
        <v>102</v>
      </c>
      <c r="L38" s="60"/>
      <c r="M38" s="60"/>
      <c r="N38" s="60"/>
      <c r="O38" s="60"/>
      <c r="P38" s="60"/>
      <c r="Q38" s="60"/>
      <c r="R38" s="60"/>
    </row>
    <row r="39" spans="1:18" ht="23.25" x14ac:dyDescent="0.35">
      <c r="B39" s="9"/>
      <c r="C39" s="10"/>
      <c r="D39" s="10"/>
      <c r="E39" s="11"/>
      <c r="F39" s="11"/>
      <c r="G39" s="12"/>
      <c r="H39" s="13"/>
      <c r="K39" s="66" t="s">
        <v>103</v>
      </c>
      <c r="L39" s="81"/>
      <c r="M39" s="189" t="s">
        <v>57</v>
      </c>
      <c r="N39" s="189"/>
      <c r="O39" s="189" t="s">
        <v>104</v>
      </c>
      <c r="P39" s="189"/>
      <c r="Q39" s="189">
        <v>1.07</v>
      </c>
      <c r="R39" s="189"/>
    </row>
    <row r="40" spans="1:18" ht="23.25" x14ac:dyDescent="0.35">
      <c r="B40" s="14" t="s">
        <v>14</v>
      </c>
      <c r="C40" s="15"/>
      <c r="D40" s="15"/>
      <c r="E40" s="16"/>
      <c r="F40" s="16"/>
      <c r="G40" s="15"/>
      <c r="H40" s="17"/>
      <c r="K40" s="70" t="s">
        <v>105</v>
      </c>
      <c r="L40" s="67"/>
      <c r="M40" s="189" t="s">
        <v>57</v>
      </c>
      <c r="N40" s="189"/>
      <c r="O40" s="190" t="s">
        <v>63</v>
      </c>
      <c r="P40" s="190"/>
      <c r="Q40" s="189">
        <v>1.04</v>
      </c>
      <c r="R40" s="189"/>
    </row>
    <row r="41" spans="1:18" ht="18" x14ac:dyDescent="0.25">
      <c r="B41" s="18"/>
      <c r="C41" s="176" t="s">
        <v>15</v>
      </c>
      <c r="D41" s="176"/>
      <c r="E41" s="176"/>
      <c r="F41" s="176"/>
      <c r="G41" s="176"/>
      <c r="H41" s="17"/>
      <c r="K41" s="60"/>
      <c r="M41" s="60"/>
      <c r="N41" s="60"/>
      <c r="O41" s="60"/>
      <c r="P41" s="60"/>
      <c r="Q41" s="60"/>
      <c r="R41" s="60"/>
    </row>
    <row r="42" spans="1:18" ht="19.5" thickBot="1" x14ac:dyDescent="0.4">
      <c r="B42" s="19"/>
      <c r="C42" s="20"/>
      <c r="D42" s="20"/>
      <c r="E42" s="20"/>
      <c r="F42" s="20"/>
      <c r="G42" s="20"/>
      <c r="H42" s="84"/>
      <c r="I42" s="34"/>
      <c r="K42" s="70" t="s">
        <v>106</v>
      </c>
      <c r="L42" s="67"/>
      <c r="M42" s="189" t="s">
        <v>57</v>
      </c>
      <c r="N42" s="189"/>
      <c r="O42" s="190" t="s">
        <v>107</v>
      </c>
      <c r="P42" s="190"/>
      <c r="Q42" s="191">
        <v>1.0529999999999999</v>
      </c>
      <c r="R42" s="191"/>
    </row>
    <row r="43" spans="1:18" x14ac:dyDescent="0.25">
      <c r="K43" s="60"/>
      <c r="L43" s="60"/>
      <c r="M43" s="60"/>
      <c r="N43" s="60"/>
      <c r="O43" s="60"/>
      <c r="P43" s="60"/>
      <c r="Q43" s="60"/>
      <c r="R43" s="60"/>
    </row>
    <row r="44" spans="1:18" ht="23.25" x14ac:dyDescent="0.35">
      <c r="B44" s="22" t="s">
        <v>478</v>
      </c>
      <c r="K44" s="76" t="s">
        <v>68</v>
      </c>
      <c r="L44" s="76"/>
      <c r="M44" s="76"/>
      <c r="N44" s="82"/>
      <c r="O44" s="75"/>
      <c r="P44" s="75"/>
      <c r="Q44" s="75"/>
      <c r="R44" s="75"/>
    </row>
    <row r="45" spans="1:18" ht="18" x14ac:dyDescent="0.25">
      <c r="K45" s="76" t="s">
        <v>69</v>
      </c>
      <c r="L45" s="76"/>
      <c r="M45" s="83"/>
      <c r="N45" s="76"/>
      <c r="O45" s="76"/>
      <c r="P45" s="76"/>
      <c r="Q45" s="76"/>
      <c r="R45" s="76"/>
    </row>
    <row r="46" spans="1:18" ht="23.25" x14ac:dyDescent="0.35">
      <c r="I46" s="15"/>
    </row>
  </sheetData>
  <mergeCells count="57">
    <mergeCell ref="M42:N42"/>
    <mergeCell ref="O42:P42"/>
    <mergeCell ref="Q42:R42"/>
    <mergeCell ref="C41:G41"/>
    <mergeCell ref="K13:L13"/>
    <mergeCell ref="M39:N39"/>
    <mergeCell ref="O39:P39"/>
    <mergeCell ref="Q39:R39"/>
    <mergeCell ref="M40:N40"/>
    <mergeCell ref="O40:P40"/>
    <mergeCell ref="Q40:R40"/>
    <mergeCell ref="M34:N34"/>
    <mergeCell ref="O34:P34"/>
    <mergeCell ref="Q34:R34"/>
    <mergeCell ref="M36:N36"/>
    <mergeCell ref="O36:P36"/>
    <mergeCell ref="Q36:R36"/>
    <mergeCell ref="M28:N28"/>
    <mergeCell ref="O28:P28"/>
    <mergeCell ref="Q28:R28"/>
    <mergeCell ref="O30:P30"/>
    <mergeCell ref="Q30:R30"/>
    <mergeCell ref="O32:P32"/>
    <mergeCell ref="Q32:R32"/>
    <mergeCell ref="M19:N19"/>
    <mergeCell ref="O19:P19"/>
    <mergeCell ref="Q19:R19"/>
    <mergeCell ref="K26:L26"/>
    <mergeCell ref="M26:N26"/>
    <mergeCell ref="O26:P26"/>
    <mergeCell ref="Q26:R26"/>
    <mergeCell ref="M17:N17"/>
    <mergeCell ref="O17:P17"/>
    <mergeCell ref="Q17:R17"/>
    <mergeCell ref="M18:N18"/>
    <mergeCell ref="O18:P18"/>
    <mergeCell ref="Q18:R18"/>
    <mergeCell ref="M11:N11"/>
    <mergeCell ref="O11:P11"/>
    <mergeCell ref="Q11:R11"/>
    <mergeCell ref="M13:N13"/>
    <mergeCell ref="O13:P13"/>
    <mergeCell ref="Q13:R13"/>
    <mergeCell ref="M7:N7"/>
    <mergeCell ref="O7:P7"/>
    <mergeCell ref="Q7:R7"/>
    <mergeCell ref="K9:L9"/>
    <mergeCell ref="M9:N9"/>
    <mergeCell ref="O9:P9"/>
    <mergeCell ref="Q9:R9"/>
    <mergeCell ref="K3:L3"/>
    <mergeCell ref="M3:N3"/>
    <mergeCell ref="O3:P3"/>
    <mergeCell ref="Q3:R3"/>
    <mergeCell ref="M5:N5"/>
    <mergeCell ref="O5:P5"/>
    <mergeCell ref="Q5:R5"/>
  </mergeCells>
  <hyperlinks>
    <hyperlink ref="L3" r:id="rId1" display="http://www.engineeringexceltemplates.com/downloads_main.aspx" xr:uid="{00000000-0004-0000-0100-000000000000}"/>
    <hyperlink ref="L4" r:id="rId2" display="http://www.engineeringexceltemplates.com/downloads_main.aspx" xr:uid="{00000000-0004-0000-0100-000001000000}"/>
    <hyperlink ref="M35" r:id="rId3" display="http://www.engineeringexceltemplates.com/downloads_main.aspx" xr:uid="{00000000-0004-0000-0100-000002000000}"/>
    <hyperlink ref="M36" r:id="rId4" display="http://www.engineeringexceltemplates.com/downloads_main.aspx" xr:uid="{00000000-0004-0000-0100-000003000000}"/>
    <hyperlink ref="C41" r:id="rId5" display="http://www.engineeringexceltemplates.com/downloads_main.aspx" xr:uid="{00000000-0004-0000-0100-000004000000}"/>
    <hyperlink ref="M12" r:id="rId6" display="http://www.engineeringexceltemplates.com/downloads_main.aspx" xr:uid="{00000000-0004-0000-0100-000005000000}"/>
    <hyperlink ref="K27:R27" r:id="rId7" display="http://www.headworksinternational.com/userfiles/file/Webinar/BV_Webinar_Slides.pdf" xr:uid="{00000000-0004-0000-0100-000006000000}"/>
    <hyperlink ref="J42" r:id="rId8" display="http://www.xylemwatersolutions.com/scs/sweden/sv-se/produkter/cirkulationspumpar/documents/san3.pdf" xr:uid="{00000000-0004-0000-0100-000007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"/>
  <sheetViews>
    <sheetView zoomScaleNormal="100" workbookViewId="0"/>
  </sheetViews>
  <sheetFormatPr defaultRowHeight="15" x14ac:dyDescent="0.25"/>
  <cols>
    <col min="1" max="1" width="12.42578125" customWidth="1"/>
    <col min="2" max="2" width="12.7109375" customWidth="1"/>
    <col min="3" max="3" width="10.85546875" customWidth="1"/>
    <col min="5" max="5" width="5.5703125" customWidth="1"/>
    <col min="6" max="6" width="11.85546875" customWidth="1"/>
    <col min="7" max="7" width="13.85546875" customWidth="1"/>
  </cols>
  <sheetData>
    <row r="1" spans="1:11" ht="20.25" x14ac:dyDescent="0.3">
      <c r="A1" s="23" t="s">
        <v>331</v>
      </c>
    </row>
    <row r="2" spans="1:11" ht="18" x14ac:dyDescent="0.25">
      <c r="A2" s="8" t="s">
        <v>112</v>
      </c>
    </row>
    <row r="3" spans="1:11" ht="15.75" thickBot="1" x14ac:dyDescent="0.3"/>
    <row r="4" spans="1:11" ht="16.5" thickBot="1" x14ac:dyDescent="0.3">
      <c r="A4" s="24" t="s">
        <v>16</v>
      </c>
      <c r="B4" s="25"/>
      <c r="C4" s="25"/>
      <c r="D4" s="25"/>
      <c r="E4" s="25"/>
      <c r="F4" s="25"/>
      <c r="G4" s="25"/>
      <c r="H4" s="25"/>
      <c r="I4" s="26"/>
    </row>
    <row r="5" spans="1:11" ht="15.75" x14ac:dyDescent="0.25">
      <c r="A5" s="3"/>
    </row>
    <row r="6" spans="1:11" ht="15.75" x14ac:dyDescent="0.25">
      <c r="A6" s="27" t="s">
        <v>120</v>
      </c>
      <c r="B6" s="3"/>
      <c r="F6" s="31"/>
    </row>
    <row r="7" spans="1:11" x14ac:dyDescent="0.25">
      <c r="B7" t="s">
        <v>121</v>
      </c>
    </row>
    <row r="9" spans="1:11" ht="15.75" thickBot="1" x14ac:dyDescent="0.3">
      <c r="A9" t="s">
        <v>29</v>
      </c>
    </row>
    <row r="10" spans="1:11" ht="18" customHeight="1" thickBot="1" x14ac:dyDescent="0.3">
      <c r="A10" t="s">
        <v>30</v>
      </c>
      <c r="C10" s="32">
        <v>120</v>
      </c>
      <c r="D10" s="30" t="s">
        <v>343</v>
      </c>
      <c r="F10" s="149">
        <f>C10/3.28084</f>
        <v>36.575998829568036</v>
      </c>
      <c r="G10" s="30" t="s">
        <v>344</v>
      </c>
    </row>
    <row r="11" spans="1:11" ht="18.75" customHeight="1" thickBot="1" x14ac:dyDescent="0.3">
      <c r="A11" s="53" t="s">
        <v>342</v>
      </c>
      <c r="B11" s="35"/>
      <c r="D11" s="54">
        <v>0.3</v>
      </c>
      <c r="E11" s="98" t="s">
        <v>439</v>
      </c>
      <c r="G11" s="151"/>
      <c r="H11" s="150">
        <f>D11*3.28084</f>
        <v>0.9842519999999999</v>
      </c>
    </row>
    <row r="12" spans="1:11" ht="20.25" customHeight="1" x14ac:dyDescent="0.25">
      <c r="G12" s="98" t="s">
        <v>438</v>
      </c>
      <c r="K12" s="139" t="s">
        <v>274</v>
      </c>
    </row>
    <row r="13" spans="1:11" ht="17.25" customHeight="1" x14ac:dyDescent="0.25"/>
    <row r="14" spans="1:11" x14ac:dyDescent="0.25">
      <c r="A14" s="55" t="s">
        <v>28</v>
      </c>
    </row>
    <row r="15" spans="1:11" ht="18" customHeight="1" thickBot="1" x14ac:dyDescent="0.3">
      <c r="K15" s="2" t="s">
        <v>225</v>
      </c>
    </row>
    <row r="16" spans="1:11" ht="18" thickBot="1" x14ac:dyDescent="0.3">
      <c r="A16" s="28" t="s">
        <v>26</v>
      </c>
      <c r="B16" s="31"/>
      <c r="C16" s="94">
        <f>(0.4056*Tww)-5.7278</f>
        <v>25.503399999999999</v>
      </c>
      <c r="D16" s="53" t="s">
        <v>341</v>
      </c>
      <c r="E16" s="52"/>
      <c r="F16" s="150">
        <f>(C16/3.7854)/(3.28084^2)</f>
        <v>0.62591621458710578</v>
      </c>
      <c r="G16" s="56" t="s">
        <v>339</v>
      </c>
    </row>
    <row r="17" spans="1:15" ht="18.75" customHeight="1" thickBot="1" x14ac:dyDescent="0.35">
      <c r="K17" t="s">
        <v>437</v>
      </c>
    </row>
    <row r="18" spans="1:15" ht="21.75" customHeight="1" thickBot="1" x14ac:dyDescent="0.35">
      <c r="A18" t="s">
        <v>32</v>
      </c>
      <c r="C18" s="58">
        <f>(Qo*1000000/24)/F16</f>
        <v>399414.48100192758</v>
      </c>
      <c r="D18" s="33" t="s">
        <v>340</v>
      </c>
      <c r="E18" t="s">
        <v>33</v>
      </c>
      <c r="H18" s="58">
        <f>C18/F10</f>
        <v>10920.125048753034</v>
      </c>
      <c r="I18" s="33" t="s">
        <v>345</v>
      </c>
      <c r="O18" s="38" t="s">
        <v>436</v>
      </c>
    </row>
    <row r="19" spans="1:15" ht="19.5" thickBot="1" x14ac:dyDescent="0.4">
      <c r="K19" s="148" t="s">
        <v>313</v>
      </c>
      <c r="N19" s="148" t="s">
        <v>314</v>
      </c>
    </row>
    <row r="20" spans="1:15" ht="18" thickBot="1" x14ac:dyDescent="0.3">
      <c r="A20" t="s">
        <v>279</v>
      </c>
      <c r="C20" s="93">
        <f>H11*C18/60</f>
        <v>6552.0750292518196</v>
      </c>
      <c r="D20" s="56" t="s">
        <v>346</v>
      </c>
      <c r="G20" s="57">
        <f>C20*((StdTemp+459.67)/(Tww+459.67))*(AtmosPress/StdPress)</f>
        <v>6442.1961926049671</v>
      </c>
      <c r="H20" s="100" t="s">
        <v>355</v>
      </c>
      <c r="L20" s="55"/>
    </row>
    <row r="21" spans="1:15" ht="18.75" x14ac:dyDescent="0.35">
      <c r="K21" s="148" t="s">
        <v>315</v>
      </c>
    </row>
    <row r="22" spans="1:15" x14ac:dyDescent="0.25">
      <c r="A22" s="141" t="s">
        <v>280</v>
      </c>
      <c r="B22" s="141"/>
    </row>
    <row r="23" spans="1:15" x14ac:dyDescent="0.25">
      <c r="A23" s="141"/>
      <c r="B23" s="141" t="s">
        <v>281</v>
      </c>
    </row>
    <row r="26" spans="1:15" ht="15.75" thickBot="1" x14ac:dyDescent="0.3"/>
    <row r="27" spans="1:15" ht="15" customHeight="1" x14ac:dyDescent="0.35">
      <c r="B27" s="9"/>
      <c r="C27" s="10"/>
      <c r="D27" s="10"/>
      <c r="E27" s="11"/>
      <c r="F27" s="11"/>
      <c r="G27" s="12"/>
      <c r="H27" s="13"/>
      <c r="I27" s="15"/>
    </row>
    <row r="28" spans="1:15" ht="23.25" x14ac:dyDescent="0.35">
      <c r="B28" s="14" t="s">
        <v>14</v>
      </c>
      <c r="C28" s="15"/>
      <c r="D28" s="15"/>
      <c r="E28" s="16"/>
      <c r="F28" s="16"/>
      <c r="G28" s="15"/>
      <c r="H28" s="17"/>
    </row>
    <row r="29" spans="1:15" ht="18" x14ac:dyDescent="0.25">
      <c r="B29" s="18"/>
      <c r="C29" s="176" t="s">
        <v>15</v>
      </c>
      <c r="D29" s="176"/>
      <c r="E29" s="176"/>
      <c r="F29" s="176"/>
      <c r="G29" s="176"/>
      <c r="H29" s="17"/>
    </row>
    <row r="30" spans="1:15" ht="15.75" thickBot="1" x14ac:dyDescent="0.3">
      <c r="B30" s="19"/>
      <c r="C30" s="20"/>
      <c r="D30" s="20"/>
      <c r="E30" s="20"/>
      <c r="F30" s="20"/>
      <c r="G30" s="20"/>
      <c r="H30" s="84"/>
    </row>
    <row r="32" spans="1:15" x14ac:dyDescent="0.25">
      <c r="B32" s="22" t="s">
        <v>478</v>
      </c>
    </row>
  </sheetData>
  <mergeCells count="1">
    <mergeCell ref="C29:G29"/>
  </mergeCells>
  <hyperlinks>
    <hyperlink ref="C29" r:id="rId1" display="http://www.engineeringexceltemplates.com/downloads_main.aspx" xr:uid="{00000000-0004-0000-0200-000000000000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61"/>
  <sheetViews>
    <sheetView tabSelected="1" topLeftCell="B19" workbookViewId="0">
      <selection activeCell="G20" sqref="G20"/>
    </sheetView>
  </sheetViews>
  <sheetFormatPr defaultRowHeight="15" x14ac:dyDescent="0.25"/>
  <cols>
    <col min="1" max="1" width="14.28515625" customWidth="1"/>
    <col min="2" max="2" width="11.85546875" customWidth="1"/>
    <col min="3" max="3" width="10.85546875" customWidth="1"/>
    <col min="5" max="5" width="6.42578125" customWidth="1"/>
    <col min="6" max="6" width="12.42578125" customWidth="1"/>
    <col min="7" max="7" width="12.140625" customWidth="1"/>
    <col min="8" max="8" width="9.7109375" customWidth="1"/>
  </cols>
  <sheetData>
    <row r="1" spans="1:11" ht="20.25" x14ac:dyDescent="0.3">
      <c r="A1" s="23" t="s">
        <v>331</v>
      </c>
    </row>
    <row r="2" spans="1:11" ht="18" x14ac:dyDescent="0.25">
      <c r="A2" s="8" t="s">
        <v>24</v>
      </c>
    </row>
    <row r="3" spans="1:11" ht="15.75" thickBot="1" x14ac:dyDescent="0.3"/>
    <row r="4" spans="1:11" ht="16.5" thickBot="1" x14ac:dyDescent="0.3">
      <c r="A4" s="24" t="s">
        <v>16</v>
      </c>
      <c r="B4" s="25"/>
      <c r="C4" s="25"/>
      <c r="D4" s="25"/>
      <c r="E4" s="25"/>
      <c r="F4" s="25"/>
      <c r="G4" s="25"/>
      <c r="H4" s="25"/>
      <c r="I4" s="26"/>
    </row>
    <row r="5" spans="1:11" ht="15.75" x14ac:dyDescent="0.25">
      <c r="A5" s="3"/>
    </row>
    <row r="6" spans="1:11" ht="15.75" x14ac:dyDescent="0.25">
      <c r="A6" s="27" t="s">
        <v>122</v>
      </c>
      <c r="B6" s="3"/>
      <c r="C6" s="3"/>
      <c r="D6" s="3"/>
    </row>
    <row r="7" spans="1:11" ht="15.75" thickBot="1" x14ac:dyDescent="0.3">
      <c r="A7" s="86" t="s">
        <v>124</v>
      </c>
      <c r="G7" s="28"/>
      <c r="H7" s="29"/>
    </row>
    <row r="8" spans="1:11" ht="19.5" thickBot="1" x14ac:dyDescent="0.35">
      <c r="B8" s="30" t="s">
        <v>125</v>
      </c>
      <c r="C8" s="32">
        <v>10</v>
      </c>
      <c r="D8" s="34" t="s">
        <v>17</v>
      </c>
      <c r="F8" t="s">
        <v>25</v>
      </c>
      <c r="H8" s="51">
        <v>10000</v>
      </c>
      <c r="I8" s="34" t="s">
        <v>17</v>
      </c>
    </row>
    <row r="9" spans="1:11" ht="19.5" thickBot="1" x14ac:dyDescent="0.35">
      <c r="B9" s="30" t="s">
        <v>126</v>
      </c>
      <c r="C9" s="32">
        <v>10</v>
      </c>
      <c r="D9" s="34" t="s">
        <v>17</v>
      </c>
      <c r="E9" t="s">
        <v>131</v>
      </c>
      <c r="H9" s="51">
        <v>10000</v>
      </c>
      <c r="I9" s="34" t="s">
        <v>17</v>
      </c>
    </row>
    <row r="10" spans="1:11" ht="19.5" thickBot="1" x14ac:dyDescent="0.4">
      <c r="B10" s="28" t="s">
        <v>127</v>
      </c>
      <c r="C10" s="32">
        <v>0.5</v>
      </c>
      <c r="D10" s="34" t="s">
        <v>17</v>
      </c>
      <c r="F10" s="31" t="s">
        <v>128</v>
      </c>
      <c r="H10" s="87">
        <v>1.5</v>
      </c>
      <c r="I10" s="33" t="s">
        <v>351</v>
      </c>
    </row>
    <row r="11" spans="1:11" ht="18" customHeight="1" thickBot="1" x14ac:dyDescent="0.4">
      <c r="A11" s="28" t="s">
        <v>23</v>
      </c>
      <c r="B11" s="31"/>
      <c r="C11" s="32">
        <v>2</v>
      </c>
      <c r="D11" s="34" t="s">
        <v>17</v>
      </c>
      <c r="F11" s="31" t="s">
        <v>129</v>
      </c>
      <c r="H11" s="107">
        <v>3</v>
      </c>
    </row>
    <row r="12" spans="1:11" ht="21" customHeight="1" thickBot="1" x14ac:dyDescent="0.4">
      <c r="A12" s="28" t="s">
        <v>135</v>
      </c>
      <c r="B12" s="31"/>
      <c r="C12" s="93">
        <f>TKNo</f>
        <v>40</v>
      </c>
      <c r="D12" s="34" t="s">
        <v>17</v>
      </c>
      <c r="F12" s="31" t="s">
        <v>130</v>
      </c>
      <c r="H12" s="107">
        <v>15</v>
      </c>
      <c r="I12" s="33" t="s">
        <v>351</v>
      </c>
    </row>
    <row r="13" spans="1:11" ht="18" customHeight="1" thickBot="1" x14ac:dyDescent="0.3">
      <c r="A13" s="38" t="s">
        <v>136</v>
      </c>
      <c r="F13" t="s">
        <v>18</v>
      </c>
      <c r="H13" s="87">
        <v>1</v>
      </c>
      <c r="K13" s="139" t="s">
        <v>277</v>
      </c>
    </row>
    <row r="14" spans="1:11" ht="18" customHeight="1" thickBot="1" x14ac:dyDescent="0.3">
      <c r="A14" s="31" t="s">
        <v>132</v>
      </c>
      <c r="C14" s="72">
        <v>28.889796647375338</v>
      </c>
      <c r="D14" s="34" t="s">
        <v>17</v>
      </c>
      <c r="E14" s="39" t="s">
        <v>133</v>
      </c>
    </row>
    <row r="15" spans="1:11" ht="24.75" customHeight="1" x14ac:dyDescent="0.25">
      <c r="A15" s="88" t="s">
        <v>418</v>
      </c>
      <c r="B15" s="3"/>
      <c r="E15" s="28"/>
    </row>
    <row r="16" spans="1:11" ht="15.75" x14ac:dyDescent="0.25">
      <c r="A16" s="89" t="s">
        <v>134</v>
      </c>
      <c r="K16" s="2" t="s">
        <v>225</v>
      </c>
    </row>
    <row r="17" spans="1:17" ht="17.25" customHeight="1" x14ac:dyDescent="0.25"/>
    <row r="18" spans="1:17" ht="20.25" x14ac:dyDescent="0.35">
      <c r="A18" s="55" t="s">
        <v>123</v>
      </c>
      <c r="L18" s="131" t="s">
        <v>226</v>
      </c>
      <c r="Q18" s="2" t="s">
        <v>227</v>
      </c>
    </row>
    <row r="19" spans="1:17" ht="12.75" customHeight="1" x14ac:dyDescent="0.25">
      <c r="A19" s="30"/>
      <c r="B19" s="3"/>
      <c r="D19" s="34"/>
    </row>
    <row r="20" spans="1:17" ht="23.25" customHeight="1" thickBot="1" x14ac:dyDescent="0.4">
      <c r="A20" s="77" t="s">
        <v>137</v>
      </c>
      <c r="E20" s="44"/>
      <c r="L20" s="2" t="s">
        <v>228</v>
      </c>
      <c r="P20" s="117" t="s">
        <v>229</v>
      </c>
    </row>
    <row r="21" spans="1:17" ht="19.5" thickBot="1" x14ac:dyDescent="0.4">
      <c r="A21" s="69" t="s">
        <v>138</v>
      </c>
      <c r="C21" s="95">
        <f>Mumn_20*(Theta_Mumn^(((Tww-32)/1.8)-20))</f>
        <v>1.2741379057778695</v>
      </c>
      <c r="D21" s="69" t="s">
        <v>335</v>
      </c>
      <c r="E21" s="91"/>
      <c r="F21" s="69" t="s">
        <v>139</v>
      </c>
      <c r="H21" s="95">
        <f>Ksn_20*(Theta_Ksn^(((Tww-32)/1.8)-20))</f>
        <v>0.5</v>
      </c>
      <c r="I21" s="34" t="s">
        <v>17</v>
      </c>
    </row>
    <row r="22" spans="1:17" ht="19.5" thickBot="1" x14ac:dyDescent="0.4">
      <c r="A22" s="69" t="s">
        <v>140</v>
      </c>
      <c r="C22" s="95">
        <f>kdn_20*(Theta_kdn^(((Tww-32)/1.8)-20))</f>
        <v>0.19612176597574529</v>
      </c>
      <c r="D22" s="69" t="s">
        <v>356</v>
      </c>
      <c r="E22" s="91"/>
      <c r="F22" s="69"/>
      <c r="G22" s="69" t="s">
        <v>141</v>
      </c>
      <c r="H22" s="95">
        <f>(C21*C10/(H21+C10))*(C11/(0.5+C11))-C22</f>
        <v>0.31353339633540256</v>
      </c>
      <c r="I22" s="69" t="s">
        <v>356</v>
      </c>
      <c r="L22" s="131" t="s">
        <v>230</v>
      </c>
      <c r="Q22" s="2" t="s">
        <v>231</v>
      </c>
    </row>
    <row r="23" spans="1:17" ht="19.5" customHeight="1" thickBot="1" x14ac:dyDescent="0.3">
      <c r="A23" s="31" t="s">
        <v>142</v>
      </c>
      <c r="C23" s="94">
        <f>1/H22</f>
        <v>3.1894528993978342</v>
      </c>
      <c r="D23" s="34" t="s">
        <v>27</v>
      </c>
      <c r="F23" s="31" t="s">
        <v>143</v>
      </c>
      <c r="H23" s="172">
        <v>21</v>
      </c>
      <c r="I23" s="34" t="s">
        <v>27</v>
      </c>
    </row>
    <row r="24" spans="1:17" ht="22.5" customHeight="1" x14ac:dyDescent="0.3">
      <c r="F24" s="170" t="s">
        <v>481</v>
      </c>
      <c r="G24" s="42"/>
      <c r="H24" s="42"/>
      <c r="I24" s="42"/>
      <c r="J24" s="43"/>
      <c r="L24" s="97" t="s">
        <v>232</v>
      </c>
    </row>
    <row r="25" spans="1:17" ht="20.25" customHeight="1" x14ac:dyDescent="0.25">
      <c r="A25" s="77" t="s">
        <v>144</v>
      </c>
      <c r="F25" s="171" t="s">
        <v>482</v>
      </c>
      <c r="G25" s="173"/>
      <c r="H25" s="173"/>
      <c r="I25" s="175">
        <f>FS*C23</f>
        <v>4.7841793490967515</v>
      </c>
      <c r="J25" s="174" t="s">
        <v>483</v>
      </c>
      <c r="M25" t="s">
        <v>233</v>
      </c>
    </row>
    <row r="26" spans="1:17" ht="15.75" customHeight="1" thickBot="1" x14ac:dyDescent="0.3"/>
    <row r="27" spans="1:17" ht="21" thickBot="1" x14ac:dyDescent="0.4">
      <c r="A27" s="69" t="s">
        <v>145</v>
      </c>
      <c r="C27" s="94">
        <f>Mum_20*(Theta_Mum^(((Tww-32)/1.8)-20))</f>
        <v>8.4153103842000014</v>
      </c>
      <c r="D27" s="69" t="s">
        <v>356</v>
      </c>
      <c r="E27" s="91"/>
      <c r="F27" s="69" t="s">
        <v>147</v>
      </c>
      <c r="H27" s="96">
        <f>kd_20*(Theta_kd^(((Tww-32)/1.8)-20))</f>
        <v>0.14599834828800004</v>
      </c>
      <c r="I27" s="69" t="s">
        <v>356</v>
      </c>
      <c r="L27" s="131" t="s">
        <v>383</v>
      </c>
      <c r="P27" s="2" t="s">
        <v>384</v>
      </c>
    </row>
    <row r="28" spans="1:17" ht="17.25" thickBot="1" x14ac:dyDescent="0.3">
      <c r="B28" s="30" t="s">
        <v>146</v>
      </c>
      <c r="C28" s="93">
        <f>1.6*BODo</f>
        <v>400</v>
      </c>
      <c r="D28" s="34" t="s">
        <v>17</v>
      </c>
      <c r="G28" s="30" t="s">
        <v>148</v>
      </c>
      <c r="H28" s="95">
        <f>Ks*(1+(H27*H23))/(H23*(C27-H27)-1)</f>
        <v>0.18839661970617838</v>
      </c>
      <c r="I28" s="31" t="s">
        <v>357</v>
      </c>
    </row>
    <row r="29" spans="1:17" ht="17.25" thickBot="1" x14ac:dyDescent="0.35">
      <c r="L29" s="97" t="s">
        <v>234</v>
      </c>
    </row>
    <row r="30" spans="1:17" ht="18" customHeight="1" thickBot="1" x14ac:dyDescent="0.35">
      <c r="A30" s="31" t="s">
        <v>149</v>
      </c>
      <c r="D30" s="93">
        <f>(Qo*Y*(C28-H28)*(8.34)/(1+(H27*H23)))+(fd*H27*Qo*Y*(C28-H28)*H23*(8.34)/(1+(H27*H23)))+(Qo*Yn*C14*(8.34)/(1+(C22*H23)))</f>
        <v>3274.8988232425245</v>
      </c>
      <c r="E30" s="31" t="s">
        <v>358</v>
      </c>
    </row>
    <row r="31" spans="1:17" ht="21" customHeight="1" x14ac:dyDescent="0.35">
      <c r="I31" s="33"/>
      <c r="L31" s="2" t="s">
        <v>382</v>
      </c>
    </row>
    <row r="32" spans="1:17" x14ac:dyDescent="0.25">
      <c r="A32" s="97" t="s">
        <v>150</v>
      </c>
    </row>
    <row r="33" spans="1:12" ht="15.75" thickBot="1" x14ac:dyDescent="0.3"/>
    <row r="34" spans="1:12" ht="18" customHeight="1" thickBot="1" x14ac:dyDescent="0.4">
      <c r="A34" s="31" t="s">
        <v>153</v>
      </c>
      <c r="F34" s="94">
        <f>TKNo-C10-(0.12*D30*(1/8.34)/Qo)</f>
        <v>31.646525603734954</v>
      </c>
      <c r="G34" s="100" t="s">
        <v>17</v>
      </c>
      <c r="L34" s="2" t="s">
        <v>235</v>
      </c>
    </row>
    <row r="35" spans="1:12" ht="15.75" thickBot="1" x14ac:dyDescent="0.3"/>
    <row r="36" spans="1:12" ht="18" customHeight="1" thickBot="1" x14ac:dyDescent="0.3">
      <c r="A36" s="31" t="s">
        <v>151</v>
      </c>
      <c r="G36" s="96">
        <f>C14-F34</f>
        <v>-2.7567289563596162</v>
      </c>
      <c r="H36" s="100" t="s">
        <v>17</v>
      </c>
    </row>
    <row r="37" spans="1:12" ht="22.5" customHeight="1" thickBot="1" x14ac:dyDescent="0.3">
      <c r="A37" s="99" t="s">
        <v>152</v>
      </c>
    </row>
    <row r="38" spans="1:12" ht="18.75" customHeight="1" thickBot="1" x14ac:dyDescent="0.3">
      <c r="A38" s="98" t="s">
        <v>154</v>
      </c>
      <c r="E38" s="192" t="str">
        <f>IF(ABS(G36)&lt;0.001,F34,"Redo Goal Seek")</f>
        <v>Redo Goal Seek</v>
      </c>
      <c r="F38" s="193"/>
      <c r="G38" s="100" t="s">
        <v>17</v>
      </c>
    </row>
    <row r="40" spans="1:12" ht="18" customHeight="1" x14ac:dyDescent="0.25">
      <c r="A40" s="101" t="s">
        <v>155</v>
      </c>
    </row>
    <row r="41" spans="1:12" ht="18" customHeight="1" x14ac:dyDescent="0.25">
      <c r="A41" s="101" t="s">
        <v>157</v>
      </c>
    </row>
    <row r="42" spans="1:12" ht="18" customHeight="1" x14ac:dyDescent="0.25">
      <c r="A42" s="101" t="s">
        <v>158</v>
      </c>
    </row>
    <row r="43" spans="1:12" ht="18" customHeight="1" x14ac:dyDescent="0.25">
      <c r="A43" s="101" t="s">
        <v>159</v>
      </c>
    </row>
    <row r="44" spans="1:12" ht="18" customHeight="1" x14ac:dyDescent="0.25">
      <c r="A44" s="101" t="s">
        <v>160</v>
      </c>
    </row>
    <row r="45" spans="1:12" ht="18" customHeight="1" x14ac:dyDescent="0.25">
      <c r="A45" s="101" t="s">
        <v>156</v>
      </c>
    </row>
    <row r="46" spans="1:12" ht="21.75" customHeight="1" x14ac:dyDescent="0.25"/>
    <row r="47" spans="1:12" x14ac:dyDescent="0.25">
      <c r="A47" s="77" t="s">
        <v>161</v>
      </c>
    </row>
    <row r="48" spans="1:12" ht="16.5" thickBot="1" x14ac:dyDescent="0.3">
      <c r="K48" s="2" t="s">
        <v>385</v>
      </c>
    </row>
    <row r="49" spans="1:16" ht="15.75" thickBot="1" x14ac:dyDescent="0.3">
      <c r="A49" s="30" t="s">
        <v>162</v>
      </c>
      <c r="C49" s="96">
        <f>(bCODoverBOD)*(BODo-sBODo)/(CODo-sCODo)</f>
        <v>0.8</v>
      </c>
      <c r="F49" s="30" t="s">
        <v>166</v>
      </c>
      <c r="G49" s="94">
        <f>(1-C49)*VSSo</f>
        <v>11.999999999999996</v>
      </c>
      <c r="H49" s="100" t="s">
        <v>17</v>
      </c>
    </row>
    <row r="50" spans="1:16" ht="16.5" thickBot="1" x14ac:dyDescent="0.3">
      <c r="K50" s="2" t="s">
        <v>386</v>
      </c>
    </row>
    <row r="51" spans="1:16" ht="17.25" thickBot="1" x14ac:dyDescent="0.35">
      <c r="A51" s="31" t="s">
        <v>163</v>
      </c>
      <c r="F51" s="93">
        <f>D30+(Qo*G49*8.34)</f>
        <v>3875.378823242524</v>
      </c>
      <c r="G51" s="31" t="s">
        <v>358</v>
      </c>
    </row>
    <row r="52" spans="1:16" ht="19.5" thickBot="1" x14ac:dyDescent="0.4">
      <c r="A52" s="31" t="s">
        <v>164</v>
      </c>
      <c r="F52" s="93">
        <f>F51+(Qo*(TSSo-VSSo)*8.34)</f>
        <v>13382.978823242524</v>
      </c>
      <c r="G52" s="31" t="s">
        <v>359</v>
      </c>
      <c r="K52" s="2" t="s">
        <v>236</v>
      </c>
      <c r="O52" s="2" t="s">
        <v>237</v>
      </c>
    </row>
    <row r="53" spans="1:16" ht="15.75" thickBot="1" x14ac:dyDescent="0.3"/>
    <row r="54" spans="1:16" ht="18" customHeight="1" thickBot="1" x14ac:dyDescent="0.4">
      <c r="A54" s="31" t="s">
        <v>165</v>
      </c>
      <c r="C54" s="102">
        <f>F51*SRT</f>
        <v>81382.955288092999</v>
      </c>
      <c r="D54" s="31" t="s">
        <v>360</v>
      </c>
      <c r="F54" s="31" t="s">
        <v>167</v>
      </c>
      <c r="H54" s="102">
        <f>F52*SRT</f>
        <v>281042.55528809299</v>
      </c>
      <c r="I54" s="31" t="s">
        <v>361</v>
      </c>
      <c r="K54" s="2" t="s">
        <v>239</v>
      </c>
      <c r="P54" s="2" t="s">
        <v>240</v>
      </c>
    </row>
    <row r="55" spans="1:16" ht="21.75" customHeight="1" x14ac:dyDescent="0.25"/>
    <row r="56" spans="1:16" x14ac:dyDescent="0.25">
      <c r="A56" s="77" t="s">
        <v>168</v>
      </c>
    </row>
    <row r="57" spans="1:16" ht="19.5" customHeight="1" thickBot="1" x14ac:dyDescent="0.3">
      <c r="B57" s="103" t="s">
        <v>169</v>
      </c>
    </row>
    <row r="58" spans="1:16" ht="19.5" thickBot="1" x14ac:dyDescent="0.4">
      <c r="A58" s="31" t="s">
        <v>170</v>
      </c>
      <c r="C58" s="102">
        <f>(H54/(H8*8.34))*(1000000/7.48)</f>
        <v>450510.00155184889</v>
      </c>
      <c r="D58" s="33" t="s">
        <v>345</v>
      </c>
      <c r="E58" s="41" t="s">
        <v>20</v>
      </c>
      <c r="F58" s="42"/>
      <c r="G58" s="43"/>
      <c r="L58" s="2" t="s">
        <v>238</v>
      </c>
    </row>
    <row r="59" spans="1:16" ht="19.5" thickBot="1" x14ac:dyDescent="0.4">
      <c r="A59" t="s">
        <v>181</v>
      </c>
      <c r="C59" s="102">
        <f>C58+V_M</f>
        <v>461430.12660060194</v>
      </c>
      <c r="D59" s="33" t="s">
        <v>345</v>
      </c>
      <c r="E59" s="45" t="s">
        <v>21</v>
      </c>
      <c r="F59" s="46"/>
      <c r="G59" s="47"/>
      <c r="H59" s="194" t="s">
        <v>22</v>
      </c>
      <c r="I59" s="195"/>
    </row>
    <row r="60" spans="1:16" ht="18" customHeight="1" thickBot="1" x14ac:dyDescent="0.4">
      <c r="A60" s="31" t="s">
        <v>171</v>
      </c>
      <c r="C60" s="102">
        <f>C59/N</f>
        <v>153810.04220020064</v>
      </c>
      <c r="D60" s="33" t="s">
        <v>345</v>
      </c>
      <c r="E60" s="101" t="str">
        <f>IF(I59="cylindrical","          Actual Tank Diam:","           Actual Tank Width:")</f>
        <v xml:space="preserve">           Actual Tank Width:</v>
      </c>
      <c r="H60" s="106">
        <v>57</v>
      </c>
      <c r="I60" s="33" t="s">
        <v>351</v>
      </c>
    </row>
    <row r="61" spans="1:16" ht="18" customHeight="1" thickBot="1" x14ac:dyDescent="0.3">
      <c r="A61" t="str">
        <f>IF(H59="cylindrical","Calculated Tank Diam.  =","  Calculated Tank Width =")</f>
        <v xml:space="preserve">  Calculated Tank Width =</v>
      </c>
      <c r="C61" s="108">
        <f>IF(H59="cylindrical",((C60/H12)*4/PI())^0.5,((C60/H12)/H13)^0.5)</f>
        <v>101.26205021303247</v>
      </c>
      <c r="D61" s="33" t="s">
        <v>351</v>
      </c>
      <c r="E61" s="101" t="str">
        <f>IF(I59="cylindrical","    Not Used for Cylindrical:","         Actual Tank Length:")</f>
        <v xml:space="preserve">         Actual Tank Length:</v>
      </c>
      <c r="H61" s="106">
        <v>57</v>
      </c>
      <c r="I61" s="33" t="s">
        <v>351</v>
      </c>
    </row>
    <row r="62" spans="1:16" ht="18" customHeight="1" thickBot="1" x14ac:dyDescent="0.3">
      <c r="A62" t="str">
        <f>IF(H59="cylindrical","","  Calculated Tank Length =")</f>
        <v xml:space="preserve">  Calculated Tank Length =</v>
      </c>
      <c r="C62" s="108">
        <f>IF(H59="cylindrical","",(C60/H12)/C61)</f>
        <v>101.26205021303248</v>
      </c>
      <c r="D62" s="33" t="s">
        <v>351</v>
      </c>
      <c r="E62" s="31" t="s">
        <v>182</v>
      </c>
      <c r="H62" s="110">
        <f>IF(H59="rectangular",H12*H60*H61-(V_M/N),(H12*PI()*(H60/2)^2)-(V_M/N))</f>
        <v>45094.958317082324</v>
      </c>
      <c r="I62" s="33" t="s">
        <v>345</v>
      </c>
    </row>
    <row r="63" spans="1:16" ht="15.75" thickBot="1" x14ac:dyDescent="0.3">
      <c r="A63" s="31" t="s">
        <v>172</v>
      </c>
      <c r="C63" s="109">
        <f>H12+H10</f>
        <v>16.5</v>
      </c>
      <c r="D63" s="33" t="s">
        <v>351</v>
      </c>
      <c r="E63" s="31" t="s">
        <v>300</v>
      </c>
      <c r="H63" s="110">
        <f>(V_M/N)</f>
        <v>3640.0416829176779</v>
      </c>
      <c r="I63" s="33" t="s">
        <v>345</v>
      </c>
    </row>
    <row r="64" spans="1:16" ht="16.5" thickBot="1" x14ac:dyDescent="0.3">
      <c r="L64" s="132" t="s">
        <v>241</v>
      </c>
    </row>
    <row r="65" spans="1:20" ht="16.5" thickBot="1" x14ac:dyDescent="0.3">
      <c r="A65" s="31" t="s">
        <v>176</v>
      </c>
      <c r="C65" s="90">
        <f>((H62*7.48/1000000)*H11*24)/Qo</f>
        <v>4.0477234585413102</v>
      </c>
      <c r="D65" s="33" t="s">
        <v>31</v>
      </c>
      <c r="F65" t="s">
        <v>174</v>
      </c>
      <c r="H65" s="111">
        <f>H8*C54/H54</f>
        <v>2895.7520402797509</v>
      </c>
      <c r="I65" s="34" t="s">
        <v>17</v>
      </c>
    </row>
    <row r="66" spans="1:20" ht="18.75" x14ac:dyDescent="0.35">
      <c r="L66" s="2" t="s">
        <v>400</v>
      </c>
    </row>
    <row r="67" spans="1:20" x14ac:dyDescent="0.25">
      <c r="A67" s="97" t="s">
        <v>177</v>
      </c>
    </row>
    <row r="68" spans="1:20" ht="11.25" customHeight="1" thickBot="1" x14ac:dyDescent="0.3">
      <c r="A68" s="36"/>
      <c r="F68" s="28"/>
      <c r="G68" s="28"/>
      <c r="H68" s="28"/>
      <c r="I68" s="33"/>
    </row>
    <row r="69" spans="1:20" ht="18.75" customHeight="1" thickBot="1" x14ac:dyDescent="0.4">
      <c r="A69" s="30" t="s">
        <v>178</v>
      </c>
      <c r="B69" s="90">
        <f>Qo*8.34*BODo/(H65*8.34*(H62*7.48/1000000)*H11)</f>
        <v>0.51189282897901911</v>
      </c>
      <c r="C69" t="s">
        <v>362</v>
      </c>
      <c r="F69" t="s">
        <v>179</v>
      </c>
      <c r="H69" s="90">
        <f>Qo*BODo*8.34/((H62/1000)*H11)</f>
        <v>92.471534637617609</v>
      </c>
      <c r="I69" s="112" t="s">
        <v>363</v>
      </c>
      <c r="L69" s="2" t="s">
        <v>243</v>
      </c>
    </row>
    <row r="70" spans="1:20" ht="21.75" customHeight="1" x14ac:dyDescent="0.35">
      <c r="A70" s="38"/>
      <c r="B70" s="31"/>
      <c r="C70" s="31"/>
      <c r="D70" s="33"/>
      <c r="E70" s="39"/>
      <c r="K70" s="2" t="s">
        <v>299</v>
      </c>
    </row>
    <row r="71" spans="1:20" ht="15.75" x14ac:dyDescent="0.25">
      <c r="A71" s="77" t="s">
        <v>298</v>
      </c>
      <c r="B71" s="31"/>
      <c r="C71" s="31"/>
      <c r="E71" s="104"/>
      <c r="K71" s="133"/>
    </row>
    <row r="72" spans="1:20" ht="11.25" customHeight="1" thickBot="1" x14ac:dyDescent="0.3">
      <c r="E72" s="105"/>
      <c r="F72" s="104"/>
      <c r="H72" s="143"/>
    </row>
    <row r="73" spans="1:20" ht="20.25" customHeight="1" thickBot="1" x14ac:dyDescent="0.3">
      <c r="A73" s="30" t="s">
        <v>180</v>
      </c>
      <c r="C73" s="113">
        <f>((H11*H62*7.48/1000000)*MLSS/(SRT*TSS_W))*1000000</f>
        <v>48187.184030253695</v>
      </c>
      <c r="D73" s="33" t="s">
        <v>380</v>
      </c>
      <c r="K73" s="97" t="s">
        <v>244</v>
      </c>
    </row>
    <row r="74" spans="1:20" x14ac:dyDescent="0.25">
      <c r="A74" s="48"/>
      <c r="F74" s="49"/>
      <c r="K74" t="s">
        <v>245</v>
      </c>
    </row>
    <row r="75" spans="1:20" x14ac:dyDescent="0.25">
      <c r="A75" s="77" t="s">
        <v>278</v>
      </c>
      <c r="F75" s="48"/>
      <c r="K75" s="196" t="s">
        <v>246</v>
      </c>
      <c r="L75" s="196"/>
      <c r="M75" s="196"/>
      <c r="N75" s="196"/>
      <c r="O75" s="196"/>
      <c r="P75" s="196"/>
      <c r="Q75" s="196"/>
      <c r="R75" s="196"/>
      <c r="S75" s="196"/>
      <c r="T75" s="196"/>
    </row>
    <row r="77" spans="1:20" x14ac:dyDescent="0.25">
      <c r="A77" s="104" t="s">
        <v>251</v>
      </c>
      <c r="K77" t="s">
        <v>387</v>
      </c>
    </row>
    <row r="78" spans="1:20" ht="15.75" thickBot="1" x14ac:dyDescent="0.3">
      <c r="K78" t="s">
        <v>388</v>
      </c>
    </row>
    <row r="79" spans="1:20" ht="17.25" customHeight="1" thickBot="1" x14ac:dyDescent="0.35">
      <c r="A79" s="28" t="s">
        <v>252</v>
      </c>
      <c r="B79" s="31"/>
      <c r="C79" s="152">
        <v>1.3</v>
      </c>
      <c r="D79" s="30" t="s">
        <v>347</v>
      </c>
      <c r="F79" t="s">
        <v>253</v>
      </c>
      <c r="H79" s="134">
        <v>14.5</v>
      </c>
      <c r="I79" s="33" t="s">
        <v>351</v>
      </c>
      <c r="K79" t="s">
        <v>247</v>
      </c>
    </row>
    <row r="80" spans="1:20" ht="17.25" customHeight="1" thickBot="1" x14ac:dyDescent="0.35">
      <c r="A80" s="28" t="s">
        <v>254</v>
      </c>
      <c r="B80" s="31"/>
      <c r="C80" s="152">
        <v>4.57</v>
      </c>
      <c r="D80" s="30" t="s">
        <v>348</v>
      </c>
      <c r="F80" t="s">
        <v>255</v>
      </c>
      <c r="H80" s="107">
        <v>68</v>
      </c>
      <c r="I80" s="50" t="s">
        <v>352</v>
      </c>
      <c r="K80" t="s">
        <v>248</v>
      </c>
    </row>
    <row r="81" spans="1:17" ht="17.25" customHeight="1" thickBot="1" x14ac:dyDescent="0.3">
      <c r="A81" s="28" t="s">
        <v>256</v>
      </c>
      <c r="B81" s="31"/>
      <c r="C81" s="135">
        <v>0.02</v>
      </c>
      <c r="D81" s="30" t="s">
        <v>349</v>
      </c>
      <c r="F81" t="s">
        <v>257</v>
      </c>
      <c r="H81" s="87">
        <v>14.7</v>
      </c>
      <c r="I81" s="33" t="s">
        <v>353</v>
      </c>
      <c r="K81" t="s">
        <v>249</v>
      </c>
    </row>
    <row r="82" spans="1:17" ht="17.25" customHeight="1" thickBot="1" x14ac:dyDescent="0.3">
      <c r="A82" t="s">
        <v>258</v>
      </c>
      <c r="C82" s="136">
        <v>0.33</v>
      </c>
      <c r="F82" t="s">
        <v>259</v>
      </c>
      <c r="H82" s="87">
        <v>14.7</v>
      </c>
      <c r="I82" s="33" t="s">
        <v>353</v>
      </c>
      <c r="K82" t="s">
        <v>250</v>
      </c>
    </row>
    <row r="83" spans="1:17" ht="17.25" customHeight="1" thickBot="1" x14ac:dyDescent="0.3">
      <c r="A83" t="s">
        <v>260</v>
      </c>
      <c r="C83" s="87">
        <v>12</v>
      </c>
      <c r="D83" s="33" t="s">
        <v>350</v>
      </c>
      <c r="F83" t="s">
        <v>261</v>
      </c>
      <c r="H83" s="153">
        <v>7.4999999999999997E-2</v>
      </c>
      <c r="I83" s="33" t="s">
        <v>354</v>
      </c>
      <c r="K83" t="s">
        <v>366</v>
      </c>
    </row>
    <row r="84" spans="1:17" ht="17.25" customHeight="1" thickBot="1" x14ac:dyDescent="0.35">
      <c r="A84" s="38" t="s">
        <v>262</v>
      </c>
      <c r="F84" t="s">
        <v>263</v>
      </c>
      <c r="H84" s="154">
        <v>1.7299999999999999E-2</v>
      </c>
      <c r="I84" s="33" t="s">
        <v>354</v>
      </c>
      <c r="K84" t="s">
        <v>367</v>
      </c>
    </row>
    <row r="85" spans="1:17" ht="15.75" x14ac:dyDescent="0.3">
      <c r="K85" t="s">
        <v>368</v>
      </c>
    </row>
    <row r="86" spans="1:17" ht="15.75" thickBot="1" x14ac:dyDescent="0.3">
      <c r="A86" s="137" t="s">
        <v>264</v>
      </c>
      <c r="K86" t="s">
        <v>369</v>
      </c>
    </row>
    <row r="87" spans="1:17" ht="19.5" thickBot="1" x14ac:dyDescent="0.4">
      <c r="A87" s="69" t="s">
        <v>265</v>
      </c>
      <c r="C87" s="92">
        <f>AtmosPress+(62.4*(DiffuserDepth/2)/144)</f>
        <v>17.841666666666665</v>
      </c>
      <c r="D87" s="138" t="s">
        <v>353</v>
      </c>
      <c r="F87" t="s">
        <v>390</v>
      </c>
      <c r="G87" s="31"/>
      <c r="H87" s="92">
        <f>(Qo*(NH4No-C10)*8.34)/24</f>
        <v>51.082500000000003</v>
      </c>
      <c r="I87" s="100" t="s">
        <v>364</v>
      </c>
    </row>
    <row r="88" spans="1:17" ht="18" customHeight="1" thickBot="1" x14ac:dyDescent="0.3">
      <c r="A88" t="s">
        <v>389</v>
      </c>
      <c r="B88" s="31"/>
      <c r="C88" s="111">
        <f>(Qo*(BODo-C8)*8.34)/24</f>
        <v>500.40000000000003</v>
      </c>
      <c r="D88" s="100" t="s">
        <v>364</v>
      </c>
      <c r="G88" t="s">
        <v>268</v>
      </c>
      <c r="H88" s="140">
        <f>C90*C82</f>
        <v>9.5699999999999993E-2</v>
      </c>
      <c r="I88" s="33"/>
      <c r="K88" s="2" t="s">
        <v>401</v>
      </c>
    </row>
    <row r="89" spans="1:17" ht="18" customHeight="1" thickBot="1" x14ac:dyDescent="0.3">
      <c r="A89" t="s">
        <v>266</v>
      </c>
      <c r="B89" s="31"/>
      <c r="C89" s="108">
        <f>(C79*C88)+(C80*H87)</f>
        <v>883.96702500000015</v>
      </c>
      <c r="D89" s="100" t="s">
        <v>364</v>
      </c>
      <c r="F89" t="s">
        <v>269</v>
      </c>
      <c r="H89" s="110">
        <f>((C89/H88)/H84)/60</f>
        <v>8898.7042540211787</v>
      </c>
      <c r="I89" s="129" t="s">
        <v>355</v>
      </c>
    </row>
    <row r="90" spans="1:17" ht="18" customHeight="1" thickBot="1" x14ac:dyDescent="0.35">
      <c r="B90" t="s">
        <v>267</v>
      </c>
      <c r="C90" s="119">
        <f>C81*H79</f>
        <v>0.28999999999999998</v>
      </c>
      <c r="F90" t="s">
        <v>270</v>
      </c>
      <c r="H90" s="108">
        <f>H82+(C83*0.0361)+(H79*62.4/144)</f>
        <v>21.416533333333334</v>
      </c>
      <c r="I90" s="127" t="s">
        <v>365</v>
      </c>
      <c r="K90" s="97" t="s">
        <v>402</v>
      </c>
      <c r="P90" s="139" t="s">
        <v>403</v>
      </c>
    </row>
    <row r="91" spans="1:17" x14ac:dyDescent="0.25">
      <c r="D91">
        <f>640*24</f>
        <v>15360</v>
      </c>
    </row>
    <row r="92" spans="1:17" ht="16.5" x14ac:dyDescent="0.3">
      <c r="A92" s="141" t="s">
        <v>286</v>
      </c>
      <c r="B92" s="141"/>
      <c r="C92" s="142"/>
      <c r="K92" s="139" t="s">
        <v>404</v>
      </c>
    </row>
    <row r="93" spans="1:17" x14ac:dyDescent="0.25">
      <c r="A93" s="141"/>
      <c r="B93" s="141" t="s">
        <v>287</v>
      </c>
      <c r="C93" s="142"/>
    </row>
    <row r="94" spans="1:17" ht="16.5" x14ac:dyDescent="0.25">
      <c r="K94" s="157" t="s">
        <v>417</v>
      </c>
    </row>
    <row r="95" spans="1:17" x14ac:dyDescent="0.25">
      <c r="A95" s="97" t="s">
        <v>282</v>
      </c>
    </row>
    <row r="96" spans="1:17" ht="15.75" thickBot="1" x14ac:dyDescent="0.3">
      <c r="K96" s="139" t="s">
        <v>405</v>
      </c>
      <c r="Q96" s="139" t="s">
        <v>406</v>
      </c>
    </row>
    <row r="97" spans="1:18" ht="16.5" thickBot="1" x14ac:dyDescent="0.35">
      <c r="A97" s="36" t="s">
        <v>391</v>
      </c>
      <c r="B97" s="28" t="s">
        <v>392</v>
      </c>
      <c r="D97" s="37">
        <v>80</v>
      </c>
      <c r="E97" s="28" t="s">
        <v>288</v>
      </c>
    </row>
    <row r="98" spans="1:18" ht="16.5" x14ac:dyDescent="0.3">
      <c r="F98" s="118"/>
      <c r="K98" s="139" t="s">
        <v>407</v>
      </c>
    </row>
    <row r="99" spans="1:18" x14ac:dyDescent="0.25">
      <c r="A99" s="36" t="s">
        <v>393</v>
      </c>
    </row>
    <row r="100" spans="1:18" ht="17.25" thickBot="1" x14ac:dyDescent="0.35">
      <c r="K100" s="139" t="s">
        <v>408</v>
      </c>
    </row>
    <row r="101" spans="1:18" ht="16.5" thickBot="1" x14ac:dyDescent="0.35">
      <c r="A101" s="28" t="s">
        <v>394</v>
      </c>
      <c r="B101" s="28"/>
      <c r="C101" s="155">
        <v>50</v>
      </c>
      <c r="D101" s="33" t="s">
        <v>395</v>
      </c>
      <c r="F101" s="28" t="s">
        <v>396</v>
      </c>
      <c r="G101" s="28"/>
      <c r="H101" s="155">
        <v>84</v>
      </c>
      <c r="I101" s="33" t="s">
        <v>395</v>
      </c>
    </row>
    <row r="102" spans="1:18" ht="16.5" thickBot="1" x14ac:dyDescent="0.3">
      <c r="K102" s="2" t="s">
        <v>409</v>
      </c>
    </row>
    <row r="103" spans="1:18" ht="16.5" thickBot="1" x14ac:dyDescent="0.3">
      <c r="A103" s="28" t="s">
        <v>397</v>
      </c>
      <c r="B103" s="31"/>
      <c r="D103" s="156">
        <v>7.14</v>
      </c>
      <c r="E103" s="30" t="s">
        <v>398</v>
      </c>
    </row>
    <row r="104" spans="1:18" ht="18" x14ac:dyDescent="0.35">
      <c r="K104" s="139" t="s">
        <v>410</v>
      </c>
      <c r="P104" t="s">
        <v>411</v>
      </c>
    </row>
    <row r="105" spans="1:18" ht="24.75" customHeight="1" thickBot="1" x14ac:dyDescent="0.3">
      <c r="A105" s="36" t="s">
        <v>399</v>
      </c>
    </row>
    <row r="106" spans="1:18" ht="18.75" thickBot="1" x14ac:dyDescent="0.4">
      <c r="A106" s="31" t="s">
        <v>283</v>
      </c>
      <c r="C106" s="108">
        <f>D103*NOX</f>
        <v>225.95619281066757</v>
      </c>
      <c r="D106" s="28" t="s">
        <v>288</v>
      </c>
      <c r="K106" s="139" t="s">
        <v>412</v>
      </c>
      <c r="R106" t="s">
        <v>413</v>
      </c>
    </row>
    <row r="107" spans="1:18" ht="16.5" thickBot="1" x14ac:dyDescent="0.35">
      <c r="A107" s="31" t="s">
        <v>284</v>
      </c>
      <c r="C107" s="108">
        <f>C106+D97-ALKo</f>
        <v>205.95619281066757</v>
      </c>
      <c r="D107" s="28" t="s">
        <v>288</v>
      </c>
      <c r="F107" s="31" t="s">
        <v>289</v>
      </c>
      <c r="H107" s="110">
        <f>Qo*C107*8.34</f>
        <v>10306.047888245806</v>
      </c>
      <c r="I107" s="28" t="s">
        <v>370</v>
      </c>
    </row>
    <row r="108" spans="1:18" ht="17.25" thickBot="1" x14ac:dyDescent="0.35">
      <c r="K108" s="139" t="s">
        <v>415</v>
      </c>
      <c r="Q108" t="s">
        <v>416</v>
      </c>
    </row>
    <row r="109" spans="1:18" ht="16.5" thickBot="1" x14ac:dyDescent="0.35">
      <c r="A109" s="31" t="s">
        <v>285</v>
      </c>
      <c r="G109" s="113">
        <f>H107*H101/C101</f>
        <v>17314.160452252956</v>
      </c>
      <c r="H109" s="28" t="s">
        <v>371</v>
      </c>
    </row>
    <row r="110" spans="1:18" ht="16.5" x14ac:dyDescent="0.3">
      <c r="K110" s="139" t="s">
        <v>414</v>
      </c>
    </row>
    <row r="111" spans="1:18" ht="15.75" thickBot="1" x14ac:dyDescent="0.3"/>
    <row r="112" spans="1:18" ht="23.25" x14ac:dyDescent="0.35">
      <c r="B112" s="9"/>
      <c r="C112" s="10"/>
      <c r="D112" s="10"/>
      <c r="E112" s="11"/>
      <c r="F112" s="11"/>
      <c r="G112" s="12"/>
      <c r="H112" s="13"/>
      <c r="K112" s="97" t="s">
        <v>322</v>
      </c>
    </row>
    <row r="113" spans="2:17" ht="23.25" x14ac:dyDescent="0.35">
      <c r="B113" s="14" t="s">
        <v>14</v>
      </c>
      <c r="C113" s="15"/>
      <c r="D113" s="15"/>
      <c r="E113" s="16"/>
      <c r="F113" s="16"/>
      <c r="G113" s="15"/>
      <c r="H113" s="17"/>
    </row>
    <row r="114" spans="2:17" ht="18" x14ac:dyDescent="0.25">
      <c r="B114" s="18"/>
      <c r="C114" s="176" t="s">
        <v>15</v>
      </c>
      <c r="D114" s="176"/>
      <c r="E114" s="176"/>
      <c r="F114" s="176"/>
      <c r="G114" s="176"/>
      <c r="H114" s="17"/>
      <c r="K114" s="147" t="s">
        <v>323</v>
      </c>
    </row>
    <row r="115" spans="2:17" ht="15.75" thickBot="1" x14ac:dyDescent="0.3">
      <c r="B115" s="19"/>
      <c r="C115" s="20"/>
      <c r="D115" s="20"/>
      <c r="E115" s="20"/>
      <c r="F115" s="20"/>
      <c r="G115" s="20"/>
      <c r="H115" s="84"/>
      <c r="K115" s="147" t="s">
        <v>311</v>
      </c>
    </row>
    <row r="117" spans="2:17" x14ac:dyDescent="0.25">
      <c r="B117" s="22" t="s">
        <v>478</v>
      </c>
      <c r="K117" t="s">
        <v>325</v>
      </c>
    </row>
    <row r="118" spans="2:17" x14ac:dyDescent="0.25">
      <c r="K118" t="s">
        <v>326</v>
      </c>
    </row>
    <row r="120" spans="2:17" x14ac:dyDescent="0.25">
      <c r="K120" t="s">
        <v>327</v>
      </c>
    </row>
    <row r="121" spans="2:17" x14ac:dyDescent="0.25">
      <c r="K121" t="s">
        <v>328</v>
      </c>
    </row>
    <row r="122" spans="2:17" x14ac:dyDescent="0.25">
      <c r="K122" t="s">
        <v>329</v>
      </c>
    </row>
    <row r="124" spans="2:17" x14ac:dyDescent="0.25">
      <c r="K124" t="s">
        <v>330</v>
      </c>
    </row>
    <row r="125" spans="2:17" x14ac:dyDescent="0.25">
      <c r="K125" s="197" t="s">
        <v>324</v>
      </c>
      <c r="L125" s="197"/>
      <c r="M125" s="197"/>
      <c r="N125" s="197"/>
      <c r="O125" s="197"/>
      <c r="P125" s="197"/>
      <c r="Q125" s="197"/>
    </row>
    <row r="160" spans="1:1" x14ac:dyDescent="0.25">
      <c r="A160" t="s">
        <v>175</v>
      </c>
    </row>
    <row r="161" spans="1:1" x14ac:dyDescent="0.25">
      <c r="A161" t="s">
        <v>22</v>
      </c>
    </row>
  </sheetData>
  <mergeCells count="5">
    <mergeCell ref="E38:F38"/>
    <mergeCell ref="H59:I59"/>
    <mergeCell ref="K75:T75"/>
    <mergeCell ref="C114:G114"/>
    <mergeCell ref="K125:Q125"/>
  </mergeCells>
  <dataValidations count="1">
    <dataValidation type="list" allowBlank="1" showInputMessage="1" showErrorMessage="1" sqref="H59:I59" xr:uid="{00000000-0002-0000-0300-000000000000}">
      <formula1>A$160:A$161</formula1>
    </dataValidation>
  </dataValidations>
  <hyperlinks>
    <hyperlink ref="A44" r:id="rId1" display="http://www.xylemwatersolutions.com/scs/sweden/sv-se/produkter/cirkulationspumpar/documents/san3.pdf" xr:uid="{00000000-0004-0000-0300-000000000000}"/>
    <hyperlink ref="A50" r:id="rId2" display="http://www.xylemwatersolutions.com/scs/sweden/sv-se/produkter/cirkulationspumpar/documents/san3.pdf" xr:uid="{00000000-0004-0000-0300-000001000000}"/>
    <hyperlink ref="I65" r:id="rId3" location="p2000a1f99976_93002" display=" Standard Handbook of Environmental Engineering, 2nd Ed, Sec 6.5.1. Activated Sludge" xr:uid="{00000000-0004-0000-0300-000002000000}"/>
    <hyperlink ref="M30" r:id="rId4" display="http://www.engineeringexceltemplates.com/downloads_main.aspx" xr:uid="{00000000-0004-0000-0300-000003000000}"/>
    <hyperlink ref="M31" r:id="rId5" display="http://www.engineeringexceltemplates.com/downloads_main.aspx" xr:uid="{00000000-0004-0000-0300-000004000000}"/>
    <hyperlink ref="K29" r:id="rId6" display="http://www.xylemwatersolutions.com/scs/sweden/sv-se/produkter/cirkulationspumpar/documents/san3.pdf" xr:uid="{00000000-0004-0000-0300-000005000000}"/>
    <hyperlink ref="K75" r:id="rId7" xr:uid="{00000000-0004-0000-0300-000006000000}"/>
    <hyperlink ref="M75" r:id="rId8" display="http://www.engineeringexceltemplates.com/downloads_main.aspx" xr:uid="{00000000-0004-0000-0300-000007000000}"/>
    <hyperlink ref="S85" r:id="rId9" display="http://www.engineeringexceltemplates.com/downloads_main.aspx" xr:uid="{00000000-0004-0000-0300-000008000000}"/>
    <hyperlink ref="S83" r:id="rId10" display="http://www.engineeringexceltemplates.com/downloads_main.aspx" xr:uid="{00000000-0004-0000-0300-000009000000}"/>
    <hyperlink ref="L75" r:id="rId11" display="http://www.engineeringexceltemplates.com/downloads_main.aspx" xr:uid="{00000000-0004-0000-0300-00000A000000}"/>
    <hyperlink ref="F80" r:id="rId12" display="http://www.xylemwatersolutions.com/scs/sweden/sv-se/produkter/cirkulationspumpar/documents/san3.pdf" xr:uid="{00000000-0004-0000-0300-00000B000000}"/>
    <hyperlink ref="C114" r:id="rId13" display="http://www.engineeringexceltemplates.com/downloads_main.aspx" xr:uid="{00000000-0004-0000-0300-00000C000000}"/>
    <hyperlink ref="K125" r:id="rId14" xr:uid="{00000000-0004-0000-0300-00000D000000}"/>
    <hyperlink ref="I84" r:id="rId15" location="p2000a1f99976_93002" display=" Standard Handbook of Environmental Engineering, 2nd Ed, Sec 6.5.1. Activated Sludge" xr:uid="{00000000-0004-0000-0300-00000E000000}"/>
    <hyperlink ref="K75:T75" r:id="rId16" display="http://www.xylemwatersolutions.com/scs/sweden/sv-se/produkter/cirkulationspumpar/documents/san3.pdf" xr:uid="{00000000-0004-0000-0300-00000F000000}"/>
    <hyperlink ref="S89" r:id="rId17" display="http://www.engineeringexceltemplates.com/downloads_main.aspx" xr:uid="{00000000-0004-0000-0300-000010000000}"/>
  </hyperlinks>
  <pageMargins left="0.7" right="0.7" top="0.75" bottom="0.75" header="0.3" footer="0.3"/>
  <pageSetup orientation="portrait" r:id="rId18"/>
  <drawing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61"/>
  <sheetViews>
    <sheetView topLeftCell="A7" workbookViewId="0"/>
  </sheetViews>
  <sheetFormatPr defaultRowHeight="15" x14ac:dyDescent="0.25"/>
  <cols>
    <col min="1" max="2" width="13" customWidth="1"/>
    <col min="3" max="3" width="12" customWidth="1"/>
    <col min="5" max="5" width="5" customWidth="1"/>
    <col min="6" max="6" width="12" customWidth="1"/>
    <col min="7" max="7" width="13.28515625" customWidth="1"/>
    <col min="8" max="8" width="9.5703125" bestFit="1" customWidth="1"/>
    <col min="11" max="11" width="13" customWidth="1"/>
    <col min="12" max="12" width="9.85546875" customWidth="1"/>
    <col min="13" max="13" width="9.5703125" customWidth="1"/>
    <col min="17" max="17" width="12.28515625" customWidth="1"/>
    <col min="18" max="18" width="13.85546875" customWidth="1"/>
  </cols>
  <sheetData>
    <row r="1" spans="1:11" ht="20.25" x14ac:dyDescent="0.3">
      <c r="A1" s="23" t="s">
        <v>331</v>
      </c>
    </row>
    <row r="2" spans="1:11" ht="30" customHeight="1" x14ac:dyDescent="0.25">
      <c r="A2" s="116" t="s">
        <v>183</v>
      </c>
    </row>
    <row r="3" spans="1:11" ht="17.100000000000001" customHeight="1" x14ac:dyDescent="0.25">
      <c r="A3" s="3" t="s">
        <v>317</v>
      </c>
    </row>
    <row r="4" spans="1:11" ht="17.100000000000001" customHeight="1" x14ac:dyDescent="0.25">
      <c r="A4" s="3" t="s">
        <v>316</v>
      </c>
    </row>
    <row r="5" spans="1:11" ht="17.100000000000001" customHeight="1" x14ac:dyDescent="0.25">
      <c r="A5" s="3" t="s">
        <v>195</v>
      </c>
    </row>
    <row r="6" spans="1:11" ht="17.100000000000001" customHeight="1" x14ac:dyDescent="0.25">
      <c r="A6" s="3" t="s">
        <v>194</v>
      </c>
    </row>
    <row r="7" spans="1:11" ht="15.75" thickBot="1" x14ac:dyDescent="0.3"/>
    <row r="8" spans="1:11" ht="16.5" thickBot="1" x14ac:dyDescent="0.3">
      <c r="A8" s="63" t="s">
        <v>37</v>
      </c>
      <c r="B8" s="64"/>
      <c r="C8" s="64"/>
      <c r="D8" s="64"/>
      <c r="E8" s="64"/>
      <c r="F8" s="64"/>
      <c r="G8" s="64"/>
      <c r="H8" s="64"/>
      <c r="I8" s="65"/>
    </row>
    <row r="9" spans="1:11" ht="24.75" customHeight="1" x14ac:dyDescent="0.25">
      <c r="A9" s="27" t="s">
        <v>184</v>
      </c>
    </row>
    <row r="10" spans="1:11" ht="16.5" thickBot="1" x14ac:dyDescent="0.3">
      <c r="B10" s="3"/>
      <c r="C10" s="3"/>
      <c r="D10" s="3"/>
      <c r="F10" s="31" t="s">
        <v>185</v>
      </c>
    </row>
    <row r="11" spans="1:11" ht="15.75" thickBot="1" x14ac:dyDescent="0.3">
      <c r="A11" s="28" t="s">
        <v>440</v>
      </c>
      <c r="B11" s="31"/>
      <c r="C11" s="114">
        <v>4.2</v>
      </c>
      <c r="D11" s="34" t="s">
        <v>17</v>
      </c>
      <c r="F11" s="28" t="s">
        <v>186</v>
      </c>
      <c r="G11" s="31"/>
      <c r="H11" s="32">
        <v>0.38</v>
      </c>
      <c r="I11" s="28" t="s">
        <v>372</v>
      </c>
      <c r="K11" s="139" t="s">
        <v>274</v>
      </c>
    </row>
    <row r="12" spans="1:11" ht="17.25" thickBot="1" x14ac:dyDescent="0.35">
      <c r="A12" s="28" t="s">
        <v>187</v>
      </c>
      <c r="B12" s="31"/>
      <c r="C12" s="114">
        <v>4.2</v>
      </c>
      <c r="D12" s="34" t="s">
        <v>17</v>
      </c>
      <c r="F12" s="31" t="s">
        <v>188</v>
      </c>
    </row>
    <row r="13" spans="1:11" ht="16.5" thickBot="1" x14ac:dyDescent="0.3">
      <c r="A13" s="28" t="s">
        <v>189</v>
      </c>
      <c r="C13" s="115">
        <v>1.026</v>
      </c>
      <c r="F13" s="31" t="s">
        <v>190</v>
      </c>
      <c r="H13" s="40">
        <v>0.02</v>
      </c>
      <c r="J13" s="2" t="s">
        <v>225</v>
      </c>
      <c r="K13" s="2"/>
    </row>
    <row r="14" spans="1:11" ht="19.5" thickBot="1" x14ac:dyDescent="0.4">
      <c r="A14" s="28" t="s">
        <v>191</v>
      </c>
      <c r="C14" s="115">
        <v>0.68732518181686397</v>
      </c>
      <c r="D14" s="100" t="s">
        <v>31</v>
      </c>
      <c r="F14" s="31" t="s">
        <v>130</v>
      </c>
      <c r="H14" s="87">
        <v>15</v>
      </c>
      <c r="I14" s="33" t="s">
        <v>351</v>
      </c>
    </row>
    <row r="15" spans="1:11" ht="19.5" thickBot="1" x14ac:dyDescent="0.4">
      <c r="A15" s="31" t="s">
        <v>128</v>
      </c>
      <c r="C15" s="87">
        <v>1.5</v>
      </c>
      <c r="D15" s="33" t="s">
        <v>351</v>
      </c>
      <c r="F15" t="s">
        <v>18</v>
      </c>
      <c r="H15" s="87">
        <v>1</v>
      </c>
      <c r="K15" t="s">
        <v>454</v>
      </c>
    </row>
    <row r="16" spans="1:11" ht="15.75" thickBot="1" x14ac:dyDescent="0.3">
      <c r="A16" s="31" t="s">
        <v>224</v>
      </c>
      <c r="C16" s="107">
        <v>3</v>
      </c>
      <c r="E16" s="39" t="s">
        <v>19</v>
      </c>
    </row>
    <row r="17" spans="1:13" ht="21.75" customHeight="1" x14ac:dyDescent="0.3">
      <c r="A17" s="88" t="s">
        <v>192</v>
      </c>
      <c r="E17" s="91"/>
      <c r="F17" s="69"/>
      <c r="G17" s="91"/>
      <c r="K17" t="s">
        <v>460</v>
      </c>
    </row>
    <row r="18" spans="1:13" x14ac:dyDescent="0.25">
      <c r="A18" s="89" t="s">
        <v>193</v>
      </c>
    </row>
    <row r="19" spans="1:13" ht="18.75" x14ac:dyDescent="0.35">
      <c r="K19" t="s">
        <v>480</v>
      </c>
    </row>
    <row r="20" spans="1:13" ht="18.75" x14ac:dyDescent="0.35">
      <c r="A20" s="27" t="s">
        <v>196</v>
      </c>
      <c r="B20" s="3"/>
      <c r="F20" s="31"/>
      <c r="K20" t="s">
        <v>461</v>
      </c>
    </row>
    <row r="21" spans="1:13" ht="18.75" x14ac:dyDescent="0.35">
      <c r="K21" t="s">
        <v>462</v>
      </c>
    </row>
    <row r="22" spans="1:13" x14ac:dyDescent="0.25">
      <c r="A22" s="77" t="s">
        <v>441</v>
      </c>
      <c r="B22" s="31"/>
      <c r="C22" s="34"/>
      <c r="D22" s="34"/>
      <c r="E22" s="28"/>
      <c r="G22" s="31"/>
      <c r="H22" s="34"/>
      <c r="I22" s="34"/>
    </row>
    <row r="23" spans="1:13" ht="19.5" thickBot="1" x14ac:dyDescent="0.4">
      <c r="K23" t="s">
        <v>455</v>
      </c>
    </row>
    <row r="24" spans="1:13" ht="19.5" thickBot="1" x14ac:dyDescent="0.4">
      <c r="A24" s="69" t="s">
        <v>442</v>
      </c>
      <c r="C24" s="90">
        <f>(NOX/C11)-1</f>
        <v>6.5348870485083221</v>
      </c>
      <c r="E24" s="69" t="s">
        <v>443</v>
      </c>
      <c r="G24" s="31"/>
      <c r="H24" s="113">
        <f>(Qo*Y*(bCODo-ESS)*8.34)/(1+(kdatTww*SRT))</f>
        <v>2214.2239270492641</v>
      </c>
      <c r="I24" s="34" t="s">
        <v>449</v>
      </c>
      <c r="K24" t="s">
        <v>271</v>
      </c>
    </row>
    <row r="25" spans="1:13" ht="15.75" thickBot="1" x14ac:dyDescent="0.3">
      <c r="E25" t="s">
        <v>444</v>
      </c>
    </row>
    <row r="26" spans="1:13" ht="19.5" thickBot="1" x14ac:dyDescent="0.4">
      <c r="A26" t="s">
        <v>445</v>
      </c>
      <c r="C26" s="111">
        <f>(C24/(C24+1))*TSS_W</f>
        <v>8672.8400922772034</v>
      </c>
      <c r="D26" s="100" t="s">
        <v>17</v>
      </c>
      <c r="E26" s="69" t="s">
        <v>446</v>
      </c>
      <c r="H26" s="160">
        <f>H24/P_X_TSS</f>
        <v>0.16545075325112008</v>
      </c>
      <c r="K26" t="s">
        <v>272</v>
      </c>
    </row>
    <row r="27" spans="1:13" ht="15.75" thickBot="1" x14ac:dyDescent="0.3">
      <c r="A27" t="s">
        <v>447</v>
      </c>
    </row>
    <row r="28" spans="1:13" ht="19.5" thickBot="1" x14ac:dyDescent="0.4">
      <c r="A28" s="69" t="s">
        <v>448</v>
      </c>
      <c r="C28" s="111">
        <f>H26*C26</f>
        <v>1434.9279260937772</v>
      </c>
      <c r="D28" s="100" t="s">
        <v>17</v>
      </c>
      <c r="K28" s="2" t="s">
        <v>242</v>
      </c>
      <c r="M28" t="s">
        <v>459</v>
      </c>
    </row>
    <row r="30" spans="1:13" ht="18.75" x14ac:dyDescent="0.35">
      <c r="K30" t="s">
        <v>273</v>
      </c>
    </row>
    <row r="31" spans="1:13" ht="16.5" x14ac:dyDescent="0.25">
      <c r="A31" s="77" t="s">
        <v>197</v>
      </c>
      <c r="E31" s="44"/>
    </row>
    <row r="32" spans="1:13" ht="16.5" thickBot="1" x14ac:dyDescent="0.3">
      <c r="K32" s="2" t="s">
        <v>210</v>
      </c>
    </row>
    <row r="33" spans="1:18" ht="16.5" thickBot="1" x14ac:dyDescent="0.35">
      <c r="A33" s="69" t="s">
        <v>198</v>
      </c>
      <c r="C33" s="158">
        <f>(C24*Qo)</f>
        <v>39.209322291049929</v>
      </c>
      <c r="D33" s="33" t="s">
        <v>332</v>
      </c>
      <c r="F33" s="69" t="s">
        <v>202</v>
      </c>
      <c r="H33" s="113">
        <f>C33*C11*8.34</f>
        <v>1373.4241412108968</v>
      </c>
      <c r="I33" s="33" t="s">
        <v>373</v>
      </c>
      <c r="K33" s="100"/>
      <c r="L33" s="34"/>
      <c r="M33" s="34"/>
    </row>
    <row r="34" spans="1:18" ht="19.5" thickBot="1" x14ac:dyDescent="0.4">
      <c r="A34" s="38" t="s">
        <v>463</v>
      </c>
      <c r="F34" s="69" t="s">
        <v>203</v>
      </c>
      <c r="H34" s="120">
        <f>(Qo*1000000/7.48)*C14/24</f>
        <v>22972.098322756148</v>
      </c>
      <c r="I34" s="33" t="s">
        <v>345</v>
      </c>
      <c r="K34" s="163" t="s">
        <v>211</v>
      </c>
      <c r="L34" s="163" t="s">
        <v>464</v>
      </c>
      <c r="M34" s="163" t="s">
        <v>465</v>
      </c>
    </row>
    <row r="35" spans="1:18" x14ac:dyDescent="0.25">
      <c r="B35" s="31"/>
      <c r="C35" s="33"/>
      <c r="D35" s="33"/>
      <c r="F35" s="117" t="s">
        <v>302</v>
      </c>
      <c r="G35" s="31"/>
      <c r="H35" s="33"/>
      <c r="I35" s="33"/>
      <c r="K35" s="164"/>
      <c r="L35" s="164"/>
      <c r="M35" s="164"/>
    </row>
    <row r="36" spans="1:18" x14ac:dyDescent="0.25">
      <c r="A36" s="77" t="s">
        <v>199</v>
      </c>
      <c r="B36" s="31"/>
      <c r="C36" s="33"/>
      <c r="H36" s="33"/>
      <c r="I36" s="33"/>
      <c r="K36" s="165">
        <v>0.1</v>
      </c>
      <c r="L36" s="165">
        <v>0.186</v>
      </c>
      <c r="M36" s="165">
        <v>7.8E-2</v>
      </c>
    </row>
    <row r="37" spans="1:18" ht="15.75" thickBot="1" x14ac:dyDescent="0.3">
      <c r="C37" s="33"/>
      <c r="H37" s="33"/>
      <c r="I37" s="33"/>
      <c r="K37" s="165">
        <v>0.2</v>
      </c>
      <c r="L37" s="165">
        <v>0.21299999999999999</v>
      </c>
      <c r="M37" s="165">
        <v>0.11799999999999999</v>
      </c>
    </row>
    <row r="38" spans="1:18" ht="15.75" thickBot="1" x14ac:dyDescent="0.3">
      <c r="A38" s="69" t="s">
        <v>200</v>
      </c>
      <c r="C38" s="160">
        <f>Qo*BODo*8.34/((H34*7.48/1000000)*C28*8.34)</f>
        <v>6.0835755667925504</v>
      </c>
      <c r="D38" s="69" t="s">
        <v>362</v>
      </c>
      <c r="K38" s="165">
        <v>0.3</v>
      </c>
      <c r="L38" s="165">
        <v>0.23499999999999999</v>
      </c>
      <c r="M38" s="165">
        <v>0.14099999999999999</v>
      </c>
    </row>
    <row r="39" spans="1:18" x14ac:dyDescent="0.25">
      <c r="K39" s="165">
        <v>0.4</v>
      </c>
      <c r="L39" s="165">
        <v>0.24199999999999999</v>
      </c>
      <c r="M39" s="165">
        <v>0.152</v>
      </c>
    </row>
    <row r="40" spans="1:18" x14ac:dyDescent="0.25">
      <c r="A40" s="77" t="s">
        <v>201</v>
      </c>
      <c r="B40" s="31"/>
      <c r="C40" s="33"/>
      <c r="F40" s="118"/>
      <c r="K40" s="166">
        <v>0.5</v>
      </c>
      <c r="L40" s="166">
        <v>0.27</v>
      </c>
      <c r="M40" s="166">
        <v>0.16200000000000001</v>
      </c>
    </row>
    <row r="41" spans="1:18" ht="15.75" thickBot="1" x14ac:dyDescent="0.3">
      <c r="C41" s="33"/>
      <c r="K41" s="167"/>
      <c r="L41" s="167"/>
      <c r="M41" s="167"/>
    </row>
    <row r="42" spans="1:18" ht="15.75" thickBot="1" x14ac:dyDescent="0.3">
      <c r="A42" s="112" t="s">
        <v>204</v>
      </c>
      <c r="C42" s="121">
        <f>rbCODo/bCODo</f>
        <v>0.33750000000000002</v>
      </c>
      <c r="D42" s="122" t="s">
        <v>208</v>
      </c>
      <c r="I42" s="123">
        <f>IF(C42&lt;0.2,0.1,IF(C42&lt;0.3,0.2,IF(C42&lt;0.4,0.3,IF(C42&lt;0.5,0.4,"above max"))))</f>
        <v>0.3</v>
      </c>
      <c r="K42" s="124">
        <f>I42</f>
        <v>0.3</v>
      </c>
      <c r="L42" s="125">
        <f>VLOOKUP($K42,$K$36:$N$40,2)</f>
        <v>0.23499999999999999</v>
      </c>
      <c r="M42" s="125">
        <f>VLOOKUP($K42,$K$36:$N$40,3)</f>
        <v>0.14099999999999999</v>
      </c>
    </row>
    <row r="43" spans="1:18" ht="15.75" thickBot="1" x14ac:dyDescent="0.3">
      <c r="D43" s="122" t="s">
        <v>209</v>
      </c>
      <c r="I43" s="123">
        <f>IF(C42&gt;0.5,"above max",IF(C42&gt;0.4,0.5,IF(C42&gt;0.3,0.4,IF(C42&gt;0.2,0.3,IF(C42&gt;0.1,0.2,"below min")))))</f>
        <v>0.4</v>
      </c>
      <c r="K43" s="124">
        <f>I43</f>
        <v>0.4</v>
      </c>
      <c r="L43" s="125">
        <f>VLOOKUP($K43,$K$36:$N$40,2)</f>
        <v>0.24199999999999999</v>
      </c>
      <c r="M43" s="125">
        <f>VLOOKUP($K43,$K$36:$N$40,3)</f>
        <v>0.152</v>
      </c>
    </row>
    <row r="44" spans="1:18" ht="15.75" thickBot="1" x14ac:dyDescent="0.3"/>
    <row r="45" spans="1:18" ht="15.75" thickBot="1" x14ac:dyDescent="0.3">
      <c r="A45" s="31" t="s">
        <v>205</v>
      </c>
      <c r="C45" s="92">
        <f>I42</f>
        <v>0.3</v>
      </c>
      <c r="D45" s="31" t="s">
        <v>212</v>
      </c>
      <c r="F45" s="162">
        <f>IF(C$38&lt;0.5,0.24*C$38,L42+(M42*LN(C$38)))</f>
        <v>0.4895885579770628</v>
      </c>
      <c r="K45" s="169" t="s">
        <v>469</v>
      </c>
      <c r="L45" s="91"/>
      <c r="M45" s="91"/>
      <c r="N45" s="91"/>
      <c r="O45" s="91"/>
      <c r="P45" s="91"/>
      <c r="Q45" s="91"/>
      <c r="R45" s="91"/>
    </row>
    <row r="46" spans="1:18" ht="15.75" thickBot="1" x14ac:dyDescent="0.3">
      <c r="A46" s="31" t="s">
        <v>205</v>
      </c>
      <c r="C46" s="92">
        <f>I43</f>
        <v>0.4</v>
      </c>
      <c r="D46" s="31" t="s">
        <v>212</v>
      </c>
      <c r="F46" s="162">
        <f>IF(C$38&lt;0.5,0.24*C$38,L43+(M43*LN(C$38)))</f>
        <v>0.51645007668449328</v>
      </c>
      <c r="K46" s="91"/>
      <c r="L46" s="91"/>
      <c r="M46" s="91"/>
      <c r="N46" s="91"/>
      <c r="O46" s="91"/>
      <c r="P46" s="91"/>
      <c r="Q46" s="91"/>
      <c r="R46" s="91"/>
    </row>
    <row r="47" spans="1:18" ht="18" thickBot="1" x14ac:dyDescent="0.3">
      <c r="K47" s="168" t="s">
        <v>470</v>
      </c>
      <c r="L47" s="91"/>
      <c r="M47" s="91"/>
      <c r="N47" s="91"/>
      <c r="O47" s="91"/>
      <c r="P47" s="91"/>
      <c r="Q47" s="91"/>
      <c r="R47" s="91"/>
    </row>
    <row r="48" spans="1:18" ht="16.5" thickBot="1" x14ac:dyDescent="0.35">
      <c r="A48" s="31" t="s">
        <v>206</v>
      </c>
      <c r="C48" s="160">
        <f>C42</f>
        <v>0.33750000000000002</v>
      </c>
      <c r="D48" s="31" t="s">
        <v>212</v>
      </c>
      <c r="F48" s="126">
        <f>IF(C38&lt;0.5,0.24*C38,F45+((C48-C45)/(C46-C45))*(F46-F45))</f>
        <v>0.49966162749234921</v>
      </c>
      <c r="G48" s="91" t="s">
        <v>374</v>
      </c>
      <c r="K48" s="91"/>
      <c r="L48" s="91"/>
      <c r="M48" s="91"/>
      <c r="N48" s="91"/>
      <c r="O48" s="91"/>
      <c r="P48" s="91"/>
      <c r="Q48" s="91"/>
      <c r="R48" s="91"/>
    </row>
    <row r="49" spans="1:18" ht="18.75" thickBot="1" x14ac:dyDescent="0.35">
      <c r="K49" s="168" t="s">
        <v>471</v>
      </c>
      <c r="L49" s="91"/>
      <c r="M49" s="91"/>
      <c r="N49" s="91"/>
      <c r="O49" s="91"/>
      <c r="P49" s="91"/>
      <c r="Q49" s="91"/>
      <c r="R49" s="91"/>
    </row>
    <row r="50" spans="1:18" ht="19.5" customHeight="1" thickBot="1" x14ac:dyDescent="0.35">
      <c r="A50" s="31" t="s">
        <v>207</v>
      </c>
      <c r="C50" s="161">
        <f>F48*(1.026^(((Tww-32)/1.8)-20))</f>
        <v>0.56808431979937801</v>
      </c>
      <c r="D50" s="91" t="s">
        <v>375</v>
      </c>
      <c r="K50" s="91"/>
      <c r="L50" s="91"/>
      <c r="M50" s="91"/>
      <c r="N50" s="91"/>
      <c r="O50" s="91"/>
      <c r="P50" s="91"/>
      <c r="Q50" s="91"/>
      <c r="R50" s="91"/>
    </row>
    <row r="51" spans="1:18" ht="22.5" customHeight="1" x14ac:dyDescent="0.25">
      <c r="K51" t="s">
        <v>475</v>
      </c>
      <c r="M51" s="139" t="s">
        <v>476</v>
      </c>
    </row>
    <row r="52" spans="1:18" ht="18" customHeight="1" x14ac:dyDescent="0.35">
      <c r="A52" s="31"/>
      <c r="D52" s="91"/>
      <c r="N52" t="s">
        <v>477</v>
      </c>
    </row>
    <row r="53" spans="1:18" ht="20.25" customHeight="1" x14ac:dyDescent="0.25"/>
    <row r="54" spans="1:18" ht="27" customHeight="1" x14ac:dyDescent="0.25">
      <c r="A54" s="77" t="s">
        <v>213</v>
      </c>
      <c r="K54" t="s">
        <v>473</v>
      </c>
    </row>
    <row r="55" spans="1:18" ht="17.100000000000001" customHeight="1" x14ac:dyDescent="0.25">
      <c r="B55" s="103" t="s">
        <v>169</v>
      </c>
      <c r="K55" s="76" t="s">
        <v>474</v>
      </c>
    </row>
    <row r="56" spans="1:18" ht="17.100000000000001" customHeight="1" thickBot="1" x14ac:dyDescent="0.3">
      <c r="K56" s="76" t="s">
        <v>472</v>
      </c>
    </row>
    <row r="57" spans="1:18" ht="18" customHeight="1" thickBot="1" x14ac:dyDescent="0.35">
      <c r="A57" s="69" t="s">
        <v>214</v>
      </c>
      <c r="C57" s="113">
        <f>(H34*7.48/1000000)*C50*C28*8.34</f>
        <v>1168.1838686253241</v>
      </c>
      <c r="D57" s="34" t="s">
        <v>373</v>
      </c>
      <c r="F57" t="s">
        <v>220</v>
      </c>
      <c r="H57" s="128">
        <f>(C57-H33)/H33</f>
        <v>-0.14943691932240249</v>
      </c>
    </row>
    <row r="58" spans="1:18" ht="18" customHeight="1" thickBot="1" x14ac:dyDescent="0.3">
      <c r="A58" t="s">
        <v>215</v>
      </c>
      <c r="H58" s="121">
        <f>H13-H57</f>
        <v>0.16943691932240248</v>
      </c>
    </row>
    <row r="59" spans="1:18" ht="20.25" customHeight="1" thickBot="1" x14ac:dyDescent="0.3">
      <c r="A59" s="88" t="s">
        <v>152</v>
      </c>
    </row>
    <row r="60" spans="1:18" ht="19.5" thickBot="1" x14ac:dyDescent="0.4">
      <c r="A60" s="31" t="s">
        <v>216</v>
      </c>
      <c r="C60" s="198" t="str">
        <f>IF(ABS(H58)&lt;0.001,H34,"Redo Goal Seek")</f>
        <v>Redo Goal Seek</v>
      </c>
      <c r="D60" s="199"/>
      <c r="E60" s="127" t="s">
        <v>376</v>
      </c>
      <c r="F60" s="31" t="s">
        <v>221</v>
      </c>
      <c r="H60" s="130" t="e">
        <f>C60*24/(Qo*1000000/7.48)</f>
        <v>#VALUE!</v>
      </c>
      <c r="I60" s="129" t="s">
        <v>31</v>
      </c>
    </row>
    <row r="62" spans="1:18" ht="25.5" customHeight="1" x14ac:dyDescent="0.3">
      <c r="A62" s="101" t="s">
        <v>217</v>
      </c>
    </row>
    <row r="63" spans="1:18" ht="18" customHeight="1" x14ac:dyDescent="0.25">
      <c r="A63" s="101" t="s">
        <v>450</v>
      </c>
    </row>
    <row r="64" spans="1:18" ht="16.5" customHeight="1" x14ac:dyDescent="0.25">
      <c r="A64" s="101" t="s">
        <v>218</v>
      </c>
    </row>
    <row r="65" spans="1:11" ht="18" customHeight="1" x14ac:dyDescent="0.25">
      <c r="A65" s="101" t="s">
        <v>451</v>
      </c>
    </row>
    <row r="66" spans="1:11" ht="13.5" customHeight="1" x14ac:dyDescent="0.3">
      <c r="A66" s="101" t="s">
        <v>452</v>
      </c>
    </row>
    <row r="67" spans="1:11" ht="18" customHeight="1" x14ac:dyDescent="0.3">
      <c r="A67" s="101" t="s">
        <v>219</v>
      </c>
    </row>
    <row r="69" spans="1:11" ht="15.75" thickBot="1" x14ac:dyDescent="0.3">
      <c r="E69" s="41" t="s">
        <v>20</v>
      </c>
      <c r="F69" s="42"/>
      <c r="G69" s="43"/>
    </row>
    <row r="70" spans="1:11" ht="19.5" thickBot="1" x14ac:dyDescent="0.4">
      <c r="A70" s="31" t="s">
        <v>222</v>
      </c>
      <c r="C70" s="113" t="e">
        <f>C60/C16</f>
        <v>#VALUE!</v>
      </c>
      <c r="D70" s="33" t="s">
        <v>345</v>
      </c>
      <c r="E70" s="45" t="s">
        <v>21</v>
      </c>
      <c r="F70" s="46"/>
      <c r="G70" s="47"/>
      <c r="H70" s="194" t="s">
        <v>22</v>
      </c>
      <c r="I70" s="195"/>
    </row>
    <row r="71" spans="1:11" ht="19.5" thickBot="1" x14ac:dyDescent="0.4">
      <c r="A71" t="str">
        <f>IF(H70="cylindrical","Calculated Tank Diam.  =","  Calculated Tank Width =")</f>
        <v xml:space="preserve">  Calculated Tank Width =</v>
      </c>
      <c r="C71" s="108" t="e">
        <f>IF(H70="cylindrical",((C70/H14)*4/PI())^0.5,((C70/H14)/H15)^0.5)</f>
        <v>#VALUE!</v>
      </c>
      <c r="D71" s="33" t="s">
        <v>351</v>
      </c>
      <c r="E71" s="101" t="str">
        <f>IF(H70="cylindrical","          Actual Tank Diam:","         Actual Tank Width:")</f>
        <v xml:space="preserve">         Actual Tank Width:</v>
      </c>
      <c r="H71" s="106">
        <v>23</v>
      </c>
      <c r="I71" s="33" t="s">
        <v>351</v>
      </c>
      <c r="K71" t="s">
        <v>275</v>
      </c>
    </row>
    <row r="72" spans="1:11" ht="15.75" thickBot="1" x14ac:dyDescent="0.3">
      <c r="A72" t="str">
        <f>IF(H70="cylindrical","","  Calculated Tank Length =")</f>
        <v xml:space="preserve">  Calculated Tank Length =</v>
      </c>
      <c r="C72" s="108" t="e">
        <f>IF(H70="cylindrical","",(C70/H14)/C71)</f>
        <v>#VALUE!</v>
      </c>
      <c r="D72" s="33" t="s">
        <v>351</v>
      </c>
      <c r="E72" s="101" t="str">
        <f>IF(H70="cylindrical","    Not Used for Cylindrical:","       Actual Tank Length:")</f>
        <v xml:space="preserve">       Actual Tank Length:</v>
      </c>
      <c r="H72" s="106">
        <v>23</v>
      </c>
      <c r="I72" s="33" t="s">
        <v>351</v>
      </c>
    </row>
    <row r="73" spans="1:11" ht="15.75" thickBot="1" x14ac:dyDescent="0.3">
      <c r="A73" s="31" t="s">
        <v>172</v>
      </c>
      <c r="C73" s="108">
        <f>H14+C15</f>
        <v>16.5</v>
      </c>
      <c r="D73" s="33" t="s">
        <v>351</v>
      </c>
      <c r="E73" s="31" t="s">
        <v>173</v>
      </c>
      <c r="H73" s="108">
        <f>IF(H70="rectangular",H14*H71*H72,H14*PI()*(H71/2)^2)</f>
        <v>7935</v>
      </c>
      <c r="I73" s="33" t="s">
        <v>377</v>
      </c>
    </row>
    <row r="74" spans="1:11" ht="15.75" thickBot="1" x14ac:dyDescent="0.3">
      <c r="F74" t="s">
        <v>301</v>
      </c>
    </row>
    <row r="75" spans="1:11" ht="16.5" thickBot="1" x14ac:dyDescent="0.3">
      <c r="A75" s="31" t="s">
        <v>223</v>
      </c>
      <c r="C75" s="90">
        <f>H73*C16*24/(Qo*1000000/7.48)</f>
        <v>0.71224560000000003</v>
      </c>
      <c r="D75" s="33" t="s">
        <v>31</v>
      </c>
    </row>
    <row r="77" spans="1:11" x14ac:dyDescent="0.25">
      <c r="A77" s="77" t="s">
        <v>290</v>
      </c>
    </row>
    <row r="78" spans="1:11" ht="19.5" thickBot="1" x14ac:dyDescent="0.4">
      <c r="K78" s="31" t="s">
        <v>276</v>
      </c>
    </row>
    <row r="79" spans="1:11" ht="15.75" thickBot="1" x14ac:dyDescent="0.3">
      <c r="A79" s="69" t="s">
        <v>291</v>
      </c>
      <c r="C79" s="111">
        <f>2.86*(NOX-C12)*Qo*8.34</f>
        <v>3927.9930438631659</v>
      </c>
      <c r="D79" s="28" t="s">
        <v>378</v>
      </c>
      <c r="F79" s="92">
        <f>C79/24</f>
        <v>163.66637682763192</v>
      </c>
      <c r="G79" s="34" t="s">
        <v>364</v>
      </c>
    </row>
    <row r="80" spans="1:11" ht="15.75" thickBot="1" x14ac:dyDescent="0.3"/>
    <row r="81" spans="1:11" ht="16.5" thickBot="1" x14ac:dyDescent="0.35">
      <c r="A81" t="s">
        <v>292</v>
      </c>
      <c r="C81" s="111">
        <f>O2_kgperhrN-F79</f>
        <v>720.30064817236826</v>
      </c>
      <c r="D81" s="34" t="s">
        <v>364</v>
      </c>
      <c r="E81" s="98" t="s">
        <v>453</v>
      </c>
      <c r="H81" s="113">
        <f>SCMM_nitrif*C81/O2_kgperhrN</f>
        <v>7251.1103477707939</v>
      </c>
      <c r="I81" s="33" t="s">
        <v>355</v>
      </c>
    </row>
    <row r="82" spans="1:11" ht="15.75" thickBot="1" x14ac:dyDescent="0.3">
      <c r="E82" s="98"/>
      <c r="F82" t="s">
        <v>270</v>
      </c>
      <c r="H82" s="92">
        <f>BlowerPress</f>
        <v>21.416533333333334</v>
      </c>
      <c r="I82" s="34" t="s">
        <v>353</v>
      </c>
    </row>
    <row r="83" spans="1:11" ht="15.75" x14ac:dyDescent="0.25">
      <c r="K83" s="2"/>
    </row>
    <row r="84" spans="1:11" x14ac:dyDescent="0.25">
      <c r="A84" s="77" t="s">
        <v>293</v>
      </c>
    </row>
    <row r="85" spans="1:11" ht="15.75" thickBot="1" x14ac:dyDescent="0.3"/>
    <row r="86" spans="1:11" ht="16.5" thickBot="1" x14ac:dyDescent="0.35">
      <c r="A86" s="31" t="s">
        <v>294</v>
      </c>
      <c r="C86" s="92">
        <f>3.57*(NOX-C12)</f>
        <v>97.984096405333787</v>
      </c>
      <c r="D86" s="28" t="s">
        <v>288</v>
      </c>
      <c r="F86" s="28"/>
    </row>
    <row r="87" spans="1:11" ht="15.75" thickBot="1" x14ac:dyDescent="0.3"/>
    <row r="88" spans="1:11" ht="16.5" thickBot="1" x14ac:dyDescent="0.35">
      <c r="A88" s="31" t="s">
        <v>284</v>
      </c>
      <c r="C88" s="92">
        <f>AlkNeeded_Nitrif-C86</f>
        <v>107.97209640533379</v>
      </c>
      <c r="D88" s="28" t="s">
        <v>288</v>
      </c>
      <c r="F88" s="31" t="s">
        <v>289</v>
      </c>
      <c r="H88" s="111">
        <f>Qo*C88*8.34</f>
        <v>5402.9237041229026</v>
      </c>
      <c r="I88" s="28" t="s">
        <v>370</v>
      </c>
    </row>
    <row r="89" spans="1:11" ht="15.75" thickBot="1" x14ac:dyDescent="0.3"/>
    <row r="90" spans="1:11" ht="16.5" thickBot="1" x14ac:dyDescent="0.35">
      <c r="A90" s="31" t="s">
        <v>285</v>
      </c>
      <c r="G90" s="113">
        <f>H88*84/50</f>
        <v>9076.9118229264768</v>
      </c>
      <c r="H90" s="28" t="s">
        <v>371</v>
      </c>
    </row>
    <row r="92" spans="1:11" x14ac:dyDescent="0.25">
      <c r="A92" s="77" t="s">
        <v>295</v>
      </c>
    </row>
    <row r="93" spans="1:11" ht="15.75" thickBot="1" x14ac:dyDescent="0.3"/>
    <row r="94" spans="1:11" ht="15.75" thickBot="1" x14ac:dyDescent="0.3">
      <c r="A94" s="31" t="s">
        <v>296</v>
      </c>
      <c r="C94" s="92">
        <f>H73*C16*H11/1000</f>
        <v>9.0458999999999996</v>
      </c>
      <c r="D94" s="34" t="s">
        <v>379</v>
      </c>
    </row>
    <row r="96" spans="1:11" x14ac:dyDescent="0.25">
      <c r="A96" s="77" t="s">
        <v>297</v>
      </c>
      <c r="K96" t="s">
        <v>468</v>
      </c>
    </row>
    <row r="97" spans="1:11" ht="15.75" thickBot="1" x14ac:dyDescent="0.3"/>
    <row r="98" spans="1:11" ht="19.5" thickBot="1" x14ac:dyDescent="0.4">
      <c r="A98" s="30" t="s">
        <v>180</v>
      </c>
      <c r="C98" s="113">
        <f>(((N*(AerVol*7.48/1000000)*MLSS)+(N_Anoxic*(V_Anox*7.48/1000000)*C28))/(SRT*TSS_W))*1000000</f>
        <v>49403.875817964908</v>
      </c>
      <c r="D98" s="33" t="s">
        <v>380</v>
      </c>
      <c r="K98" s="2" t="s">
        <v>466</v>
      </c>
    </row>
    <row r="101" spans="1:11" ht="15.75" thickBot="1" x14ac:dyDescent="0.3"/>
    <row r="102" spans="1:11" ht="18" customHeight="1" x14ac:dyDescent="0.35">
      <c r="B102" s="9"/>
      <c r="C102" s="10"/>
      <c r="D102" s="10"/>
      <c r="E102" s="11"/>
      <c r="F102" s="11"/>
      <c r="G102" s="12"/>
      <c r="H102" s="13"/>
    </row>
    <row r="103" spans="1:11" ht="23.25" x14ac:dyDescent="0.35">
      <c r="B103" s="14" t="s">
        <v>14</v>
      </c>
      <c r="C103" s="15"/>
      <c r="D103" s="15"/>
      <c r="E103" s="16"/>
      <c r="F103" s="16"/>
      <c r="G103" s="15"/>
      <c r="H103" s="17"/>
    </row>
    <row r="104" spans="1:11" ht="18" x14ac:dyDescent="0.25">
      <c r="B104" s="18"/>
      <c r="C104" s="176" t="s">
        <v>15</v>
      </c>
      <c r="D104" s="176"/>
      <c r="E104" s="176"/>
      <c r="F104" s="176"/>
      <c r="G104" s="176"/>
      <c r="H104" s="17"/>
    </row>
    <row r="105" spans="1:11" ht="15.75" thickBot="1" x14ac:dyDescent="0.3">
      <c r="B105" s="19"/>
      <c r="C105" s="20"/>
      <c r="D105" s="20"/>
      <c r="E105" s="20"/>
      <c r="F105" s="20"/>
      <c r="G105" s="20"/>
      <c r="H105" s="84"/>
    </row>
    <row r="107" spans="1:11" x14ac:dyDescent="0.25">
      <c r="B107" s="22" t="s">
        <v>478</v>
      </c>
    </row>
    <row r="160" spans="1:1" x14ac:dyDescent="0.25">
      <c r="A160" t="s">
        <v>175</v>
      </c>
    </row>
    <row r="161" spans="1:1" x14ac:dyDescent="0.25">
      <c r="A161" t="s">
        <v>22</v>
      </c>
    </row>
  </sheetData>
  <mergeCells count="3">
    <mergeCell ref="C60:D60"/>
    <mergeCell ref="H70:I70"/>
    <mergeCell ref="C104:G104"/>
  </mergeCells>
  <dataValidations disablePrompts="1" count="1">
    <dataValidation type="list" allowBlank="1" showInputMessage="1" showErrorMessage="1" sqref="H70:I70" xr:uid="{00000000-0002-0000-0400-000000000000}">
      <formula1>A$160:A$161</formula1>
    </dataValidation>
  </dataValidations>
  <hyperlinks>
    <hyperlink ref="C104" r:id="rId1" display="http://www.engineeringexceltemplates.com/downloads_main.aspx" xr:uid="{00000000-0004-0000-0400-000000000000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A997-C40A-4434-AF2B-56A4AC035A89}">
  <dimension ref="A1:C20"/>
  <sheetViews>
    <sheetView workbookViewId="0"/>
  </sheetViews>
  <sheetFormatPr defaultRowHeight="15" x14ac:dyDescent="0.25"/>
  <sheetData>
    <row r="1" spans="1:3" ht="18" x14ac:dyDescent="0.25">
      <c r="B1" s="159" t="s">
        <v>426</v>
      </c>
    </row>
    <row r="3" spans="1:3" x14ac:dyDescent="0.25">
      <c r="B3" s="100" t="s">
        <v>427</v>
      </c>
      <c r="C3" s="100" t="s">
        <v>428</v>
      </c>
    </row>
    <row r="4" spans="1:3" ht="17.25" x14ac:dyDescent="0.25">
      <c r="B4" s="100" t="s">
        <v>429</v>
      </c>
      <c r="C4" s="100" t="s">
        <v>430</v>
      </c>
    </row>
    <row r="5" spans="1:3" x14ac:dyDescent="0.25">
      <c r="B5" s="100">
        <v>41</v>
      </c>
      <c r="C5" s="100">
        <v>11</v>
      </c>
    </row>
    <row r="6" spans="1:3" x14ac:dyDescent="0.25">
      <c r="B6" s="100">
        <v>50</v>
      </c>
      <c r="C6" s="100">
        <v>14.5</v>
      </c>
    </row>
    <row r="7" spans="1:3" x14ac:dyDescent="0.25">
      <c r="B7" s="100">
        <v>59</v>
      </c>
      <c r="C7" s="100">
        <v>18</v>
      </c>
    </row>
    <row r="8" spans="1:3" x14ac:dyDescent="0.25">
      <c r="B8" s="100">
        <v>68</v>
      </c>
      <c r="C8" s="100">
        <v>22</v>
      </c>
    </row>
    <row r="9" spans="1:3" x14ac:dyDescent="0.25">
      <c r="B9" s="100">
        <v>77</v>
      </c>
      <c r="C9" s="100">
        <v>25.5</v>
      </c>
    </row>
    <row r="11" spans="1:3" x14ac:dyDescent="0.25">
      <c r="A11" t="s">
        <v>431</v>
      </c>
    </row>
    <row r="12" spans="1:3" x14ac:dyDescent="0.25">
      <c r="A12" t="s">
        <v>432</v>
      </c>
    </row>
    <row r="14" spans="1:3" x14ac:dyDescent="0.25">
      <c r="A14" t="s">
        <v>433</v>
      </c>
    </row>
    <row r="15" spans="1:3" x14ac:dyDescent="0.25">
      <c r="A15" t="s">
        <v>434</v>
      </c>
    </row>
    <row r="16" spans="1:3" x14ac:dyDescent="0.25">
      <c r="A16" t="s">
        <v>435</v>
      </c>
    </row>
    <row r="20" spans="2:2" x14ac:dyDescent="0.25">
      <c r="B20" s="22" t="s">
        <v>479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58</vt:i4>
      </vt:variant>
    </vt:vector>
  </HeadingPairs>
  <TitlesOfParts>
    <vt:vector size="64" baseType="lpstr">
      <vt:lpstr>1. Introduction</vt:lpstr>
      <vt:lpstr>2. User Inputs and Constants</vt:lpstr>
      <vt:lpstr>3. Membrane Module</vt:lpstr>
      <vt:lpstr>4. BOD Removal - Nitrif</vt:lpstr>
      <vt:lpstr>5. Denitrification</vt:lpstr>
      <vt:lpstr>6. Eqn for Membrane Flux vs T</vt:lpstr>
      <vt:lpstr>A_M</vt:lpstr>
      <vt:lpstr>AerVol</vt:lpstr>
      <vt:lpstr>AlkNeeded_Nitrif</vt:lpstr>
      <vt:lpstr>ALKo</vt:lpstr>
      <vt:lpstr>AtmosPress</vt:lpstr>
      <vt:lpstr>bCODo</vt:lpstr>
      <vt:lpstr>bCODoverBOD</vt:lpstr>
      <vt:lpstr>BlowerPress</vt:lpstr>
      <vt:lpstr>BODo</vt:lpstr>
      <vt:lpstr>BODuoverVSS</vt:lpstr>
      <vt:lpstr>CODo</vt:lpstr>
      <vt:lpstr>DiffuserDepth</vt:lpstr>
      <vt:lpstr>DO</vt:lpstr>
      <vt:lpstr>ESS</vt:lpstr>
      <vt:lpstr>f</vt:lpstr>
      <vt:lpstr>fd</vt:lpstr>
      <vt:lpstr>Freeboard</vt:lpstr>
      <vt:lpstr>FS</vt:lpstr>
      <vt:lpstr>kd_20</vt:lpstr>
      <vt:lpstr>kdatTww</vt:lpstr>
      <vt:lpstr>kdn_20</vt:lpstr>
      <vt:lpstr>Ks</vt:lpstr>
      <vt:lpstr>Ksn_20</vt:lpstr>
      <vt:lpstr>L_WRation</vt:lpstr>
      <vt:lpstr>LiquidDepth</vt:lpstr>
      <vt:lpstr>MLSS</vt:lpstr>
      <vt:lpstr>Mum_20</vt:lpstr>
      <vt:lpstr>Mumn_20</vt:lpstr>
      <vt:lpstr>N</vt:lpstr>
      <vt:lpstr>N_Anoxic</vt:lpstr>
      <vt:lpstr>NH4Ne</vt:lpstr>
      <vt:lpstr>NH4No</vt:lpstr>
      <vt:lpstr>NOX</vt:lpstr>
      <vt:lpstr>O2_kgperhrN</vt:lpstr>
      <vt:lpstr>P_X_TSS</vt:lpstr>
      <vt:lpstr>Qo</vt:lpstr>
      <vt:lpstr>rbCODo</vt:lpstr>
      <vt:lpstr>sBODo</vt:lpstr>
      <vt:lpstr>SCMM_nitrif</vt:lpstr>
      <vt:lpstr>sCODo</vt:lpstr>
      <vt:lpstr>SRT</vt:lpstr>
      <vt:lpstr>StdPress</vt:lpstr>
      <vt:lpstr>StdTemp</vt:lpstr>
      <vt:lpstr>Theta_kd</vt:lpstr>
      <vt:lpstr>Theta_kdn</vt:lpstr>
      <vt:lpstr>Theta_Ksn</vt:lpstr>
      <vt:lpstr>Theta_Mum</vt:lpstr>
      <vt:lpstr>Theta_Mumn</vt:lpstr>
      <vt:lpstr>TKNo</vt:lpstr>
      <vt:lpstr>TSS_W</vt:lpstr>
      <vt:lpstr>TSSe</vt:lpstr>
      <vt:lpstr>TSSo</vt:lpstr>
      <vt:lpstr>Tww</vt:lpstr>
      <vt:lpstr>V_Anox</vt:lpstr>
      <vt:lpstr>V_M</vt:lpstr>
      <vt:lpstr>VSSo</vt:lpstr>
      <vt:lpstr>Y</vt:lpstr>
      <vt:lpstr>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Harlan Bengtson</dc:creator>
  <cp:lastModifiedBy>Harlan Bengtson</cp:lastModifiedBy>
  <dcterms:created xsi:type="dcterms:W3CDTF">2016-11-23T04:50:46Z</dcterms:created>
  <dcterms:modified xsi:type="dcterms:W3CDTF">2020-11-07T17:13:28Z</dcterms:modified>
</cp:coreProperties>
</file>